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stark\Desktop\"/>
    </mc:Choice>
  </mc:AlternateContent>
  <bookViews>
    <workbookView xWindow="0" yWindow="0" windowWidth="21600" windowHeight="11625" activeTab="1"/>
  </bookViews>
  <sheets>
    <sheet name="Input-Output Metric" sheetId="3" r:id="rId1"/>
    <sheet name="Input-Output English" sheetId="2" r:id="rId2"/>
  </sheets>
  <calcPr calcId="171027" concurrentCalc="0"/>
</workbook>
</file>

<file path=xl/calcChain.xml><?xml version="1.0" encoding="utf-8"?>
<calcChain xmlns="http://schemas.openxmlformats.org/spreadsheetml/2006/main">
  <c r="C18" i="2" l="1"/>
  <c r="F18" i="2"/>
  <c r="H100" i="2"/>
  <c r="E100" i="2"/>
  <c r="H101" i="3"/>
  <c r="C100" i="2"/>
  <c r="H99" i="2"/>
  <c r="E99" i="2"/>
  <c r="C99" i="2"/>
  <c r="G61" i="2"/>
  <c r="E61" i="2"/>
  <c r="C61" i="2"/>
  <c r="C19" i="2"/>
  <c r="E18" i="2"/>
  <c r="E19" i="2"/>
  <c r="H18" i="2"/>
  <c r="H19" i="2"/>
  <c r="G18" i="2"/>
  <c r="G19" i="2"/>
  <c r="F19" i="2"/>
  <c r="C9" i="2"/>
  <c r="C10" i="2"/>
  <c r="I9" i="2"/>
  <c r="I10" i="2"/>
  <c r="H9" i="2"/>
  <c r="H10" i="2"/>
  <c r="G9" i="2"/>
  <c r="G10" i="2"/>
  <c r="F9" i="2"/>
  <c r="F10" i="2"/>
  <c r="H100" i="3"/>
  <c r="E101" i="3"/>
  <c r="C101" i="3"/>
  <c r="E100" i="3"/>
  <c r="C100" i="3"/>
  <c r="C62" i="3"/>
  <c r="G62" i="3"/>
  <c r="E62" i="3"/>
  <c r="C79" i="3"/>
  <c r="C18" i="3"/>
  <c r="C19" i="3"/>
  <c r="E18" i="3"/>
  <c r="E19" i="3"/>
  <c r="H18" i="3"/>
  <c r="H19" i="3"/>
  <c r="G18" i="3"/>
  <c r="G19" i="3"/>
  <c r="F18" i="3"/>
  <c r="F19" i="3"/>
  <c r="C9" i="3"/>
  <c r="C10" i="3"/>
  <c r="I9" i="3"/>
  <c r="I10" i="3"/>
  <c r="H9" i="3"/>
  <c r="H10" i="3"/>
  <c r="G9" i="3"/>
  <c r="G10" i="3"/>
  <c r="F9" i="3"/>
  <c r="F10" i="3"/>
  <c r="C13" i="2"/>
  <c r="I13" i="2"/>
  <c r="C15" i="2"/>
  <c r="C14" i="2"/>
  <c r="I14" i="2"/>
  <c r="I15" i="2"/>
  <c r="H13" i="2"/>
  <c r="H14" i="2"/>
  <c r="H15" i="2"/>
  <c r="G13" i="2"/>
  <c r="G14" i="2"/>
  <c r="G15" i="2"/>
  <c r="F13" i="2"/>
  <c r="F14" i="2"/>
  <c r="F15" i="2"/>
  <c r="C13" i="3"/>
  <c r="I13" i="3"/>
  <c r="C15" i="3"/>
  <c r="C14" i="3"/>
  <c r="I14" i="3"/>
  <c r="I15" i="3"/>
  <c r="H13" i="3"/>
  <c r="H14" i="3"/>
  <c r="H15" i="3"/>
  <c r="G13" i="3"/>
  <c r="G14" i="3"/>
  <c r="G15" i="3"/>
  <c r="F13" i="3"/>
  <c r="F14" i="3"/>
  <c r="F15" i="3"/>
  <c r="C78" i="2"/>
  <c r="C79" i="2"/>
  <c r="C85" i="2"/>
  <c r="E85" i="2"/>
  <c r="P47" i="2"/>
  <c r="D138" i="2"/>
  <c r="L47" i="2"/>
  <c r="O47" i="2"/>
  <c r="C86" i="2"/>
  <c r="E86" i="2"/>
  <c r="P48" i="2"/>
  <c r="D139" i="2"/>
  <c r="L48" i="2"/>
  <c r="O48" i="2"/>
  <c r="C87" i="2"/>
  <c r="E87" i="2"/>
  <c r="P49" i="2"/>
  <c r="D140" i="2"/>
  <c r="L49" i="2"/>
  <c r="O49" i="2"/>
  <c r="C88" i="2"/>
  <c r="E88" i="2"/>
  <c r="P50" i="2"/>
  <c r="D141" i="2"/>
  <c r="L50" i="2"/>
  <c r="O50" i="2"/>
  <c r="C89" i="2"/>
  <c r="E89" i="2"/>
  <c r="P51" i="2"/>
  <c r="D142" i="2"/>
  <c r="L51" i="2"/>
  <c r="O51" i="2"/>
  <c r="C90" i="2"/>
  <c r="E90" i="2"/>
  <c r="P52" i="2"/>
  <c r="D143" i="2"/>
  <c r="L52" i="2"/>
  <c r="O52" i="2"/>
  <c r="C91" i="2"/>
  <c r="E91" i="2"/>
  <c r="P53" i="2"/>
  <c r="D144" i="2"/>
  <c r="L53" i="2"/>
  <c r="O53" i="2"/>
  <c r="C92" i="2"/>
  <c r="E92" i="2"/>
  <c r="P54" i="2"/>
  <c r="D145" i="2"/>
  <c r="L54" i="2"/>
  <c r="O54" i="2"/>
  <c r="C93" i="2"/>
  <c r="E93" i="2"/>
  <c r="P55" i="2"/>
  <c r="D146" i="2"/>
  <c r="L55" i="2"/>
  <c r="O55" i="2"/>
  <c r="C84" i="2"/>
  <c r="E84" i="2"/>
  <c r="P46" i="2"/>
  <c r="D137" i="2"/>
  <c r="L46" i="2"/>
  <c r="O46" i="2"/>
  <c r="C131" i="2"/>
  <c r="C132" i="2"/>
  <c r="C138" i="2"/>
  <c r="E138" i="2"/>
  <c r="N47" i="2"/>
  <c r="M47" i="2"/>
  <c r="C139" i="2"/>
  <c r="E139" i="2"/>
  <c r="N48" i="2"/>
  <c r="M48" i="2"/>
  <c r="C140" i="2"/>
  <c r="E140" i="2"/>
  <c r="N49" i="2"/>
  <c r="M49" i="2"/>
  <c r="C141" i="2"/>
  <c r="E141" i="2"/>
  <c r="N50" i="2"/>
  <c r="M50" i="2"/>
  <c r="C142" i="2"/>
  <c r="E142" i="2"/>
  <c r="N51" i="2"/>
  <c r="M51" i="2"/>
  <c r="C143" i="2"/>
  <c r="E143" i="2"/>
  <c r="N52" i="2"/>
  <c r="M52" i="2"/>
  <c r="C144" i="2"/>
  <c r="E144" i="2"/>
  <c r="N53" i="2"/>
  <c r="M53" i="2"/>
  <c r="C145" i="2"/>
  <c r="E145" i="2"/>
  <c r="N54" i="2"/>
  <c r="M54" i="2"/>
  <c r="C146" i="2"/>
  <c r="E146" i="2"/>
  <c r="N55" i="2"/>
  <c r="M55" i="2"/>
  <c r="C137" i="2"/>
  <c r="E137" i="2"/>
  <c r="N46" i="2"/>
  <c r="M46" i="2"/>
  <c r="C80" i="3"/>
  <c r="P47" i="3"/>
  <c r="O47" i="3"/>
  <c r="P48" i="3"/>
  <c r="O48" i="3"/>
  <c r="P49" i="3"/>
  <c r="O49" i="3"/>
  <c r="P50" i="3"/>
  <c r="O50" i="3"/>
  <c r="P51" i="3"/>
  <c r="O51" i="3"/>
  <c r="P52" i="3"/>
  <c r="O52" i="3"/>
  <c r="P53" i="3"/>
  <c r="O53" i="3"/>
  <c r="P54" i="3"/>
  <c r="O54" i="3"/>
  <c r="P55" i="3"/>
  <c r="O55" i="3"/>
  <c r="P46" i="3"/>
  <c r="O46" i="3"/>
  <c r="C132" i="3"/>
  <c r="C133" i="3"/>
  <c r="C138" i="3"/>
  <c r="N46" i="3"/>
  <c r="M46" i="3"/>
  <c r="C139" i="3"/>
  <c r="N47" i="3"/>
  <c r="M47" i="3"/>
  <c r="C140" i="3"/>
  <c r="N48" i="3"/>
  <c r="M48" i="3"/>
  <c r="C141" i="3"/>
  <c r="N49" i="3"/>
  <c r="M49" i="3"/>
  <c r="C142" i="3"/>
  <c r="N50" i="3"/>
  <c r="M50" i="3"/>
  <c r="C143" i="3"/>
  <c r="N51" i="3"/>
  <c r="M51" i="3"/>
  <c r="C144" i="3"/>
  <c r="N52" i="3"/>
  <c r="M52" i="3"/>
  <c r="C145" i="3"/>
  <c r="N53" i="3"/>
  <c r="M53" i="3"/>
  <c r="C146" i="3"/>
  <c r="N54" i="3"/>
  <c r="M54" i="3"/>
  <c r="C147" i="3"/>
  <c r="N55" i="3"/>
  <c r="M55" i="3"/>
  <c r="D90" i="2"/>
  <c r="D84" i="2"/>
  <c r="D85" i="2"/>
  <c r="D86" i="2"/>
  <c r="D87" i="2"/>
  <c r="D88" i="2"/>
  <c r="D89" i="2"/>
  <c r="D91" i="2"/>
  <c r="D92" i="2"/>
  <c r="D93" i="2"/>
  <c r="D83" i="2"/>
  <c r="D136" i="2"/>
  <c r="L45" i="2"/>
  <c r="H121" i="3"/>
  <c r="E121" i="3"/>
  <c r="I118" i="3"/>
  <c r="H118" i="3"/>
  <c r="F118" i="3"/>
  <c r="E118" i="3"/>
  <c r="C118" i="3"/>
  <c r="B118" i="3"/>
  <c r="N95" i="3"/>
  <c r="C22" i="3"/>
  <c r="F22" i="3"/>
  <c r="C20" i="3"/>
  <c r="H20" i="3"/>
  <c r="C11" i="3"/>
  <c r="H11" i="3"/>
  <c r="C91" i="3"/>
  <c r="C12" i="3"/>
  <c r="H12" i="3"/>
  <c r="I5" i="3"/>
  <c r="O5" i="3"/>
  <c r="E20" i="3"/>
  <c r="G22" i="3"/>
  <c r="F20" i="3"/>
  <c r="C21" i="3"/>
  <c r="H21" i="3"/>
  <c r="C137" i="3"/>
  <c r="N45" i="3"/>
  <c r="C93" i="3"/>
  <c r="C88" i="3"/>
  <c r="C84" i="3"/>
  <c r="C92" i="3"/>
  <c r="C87" i="3"/>
  <c r="C94" i="3"/>
  <c r="C89" i="3"/>
  <c r="C85" i="3"/>
  <c r="C90" i="3"/>
  <c r="C86" i="3"/>
  <c r="F11" i="3"/>
  <c r="F12" i="3"/>
  <c r="G5" i="3"/>
  <c r="M5" i="3"/>
  <c r="H22" i="3"/>
  <c r="I11" i="3"/>
  <c r="G11" i="3"/>
  <c r="I12" i="3"/>
  <c r="J5" i="3"/>
  <c r="P5" i="3"/>
  <c r="G12" i="3"/>
  <c r="H5" i="3"/>
  <c r="N5" i="3"/>
  <c r="G20" i="3"/>
  <c r="E22" i="3"/>
  <c r="C23" i="3"/>
  <c r="E21" i="3"/>
  <c r="G21" i="3"/>
  <c r="F21" i="3"/>
  <c r="E23" i="3"/>
  <c r="F6" i="3"/>
  <c r="L6" i="3"/>
  <c r="H23" i="3"/>
  <c r="I6" i="3"/>
  <c r="O6" i="3"/>
  <c r="F23" i="3"/>
  <c r="G6" i="3"/>
  <c r="M6" i="3"/>
  <c r="G23" i="3"/>
  <c r="H6" i="3"/>
  <c r="N6" i="3"/>
  <c r="H120" i="2"/>
  <c r="E120" i="2"/>
  <c r="I117" i="2"/>
  <c r="H117" i="2"/>
  <c r="F117" i="2"/>
  <c r="E117" i="2"/>
  <c r="C117" i="2"/>
  <c r="B117" i="2"/>
  <c r="N94" i="2"/>
  <c r="C22" i="2"/>
  <c r="F22" i="2"/>
  <c r="C20" i="2"/>
  <c r="G20" i="2"/>
  <c r="C11" i="2"/>
  <c r="I11" i="2"/>
  <c r="H11" i="2"/>
  <c r="G22" i="2"/>
  <c r="F11" i="2"/>
  <c r="G11" i="2"/>
  <c r="E20" i="2"/>
  <c r="C12" i="2"/>
  <c r="I12" i="2"/>
  <c r="F20" i="2"/>
  <c r="H20" i="2"/>
  <c r="C21" i="2"/>
  <c r="G21" i="2"/>
  <c r="E22" i="2"/>
  <c r="H22" i="2"/>
  <c r="C23" i="2"/>
  <c r="C136" i="2"/>
  <c r="E136" i="2"/>
  <c r="N45" i="2"/>
  <c r="C83" i="2"/>
  <c r="E83" i="2"/>
  <c r="P45" i="2"/>
  <c r="F21" i="2"/>
  <c r="J5" i="2"/>
  <c r="P5" i="2"/>
  <c r="H21" i="2"/>
  <c r="E21" i="2"/>
  <c r="G12" i="2"/>
  <c r="F12" i="2"/>
  <c r="H12" i="2"/>
  <c r="G23" i="2"/>
  <c r="H6" i="2"/>
  <c r="N6" i="2"/>
  <c r="F23" i="2"/>
  <c r="E23" i="2"/>
  <c r="H23" i="2"/>
  <c r="I5" i="2"/>
  <c r="O5" i="2"/>
  <c r="G6" i="2"/>
  <c r="M6" i="2"/>
  <c r="G5" i="2"/>
  <c r="M5" i="2"/>
  <c r="H5" i="2"/>
  <c r="N5" i="2"/>
  <c r="F6" i="2"/>
  <c r="L6" i="2"/>
  <c r="I6" i="2"/>
  <c r="O6" i="2"/>
</calcChain>
</file>

<file path=xl/sharedStrings.xml><?xml version="1.0" encoding="utf-8"?>
<sst xmlns="http://schemas.openxmlformats.org/spreadsheetml/2006/main" count="318" uniqueCount="73">
  <si>
    <r>
      <t>σ'</t>
    </r>
    <r>
      <rPr>
        <b/>
        <vertAlign val="subscript"/>
        <sz val="12"/>
        <color indexed="8"/>
        <rFont val="Calibri"/>
        <family val="2"/>
      </rPr>
      <t>n</t>
    </r>
  </si>
  <si>
    <t>A</t>
  </si>
  <si>
    <t>B</t>
  </si>
  <si>
    <t>C</t>
  </si>
  <si>
    <t>X</t>
  </si>
  <si>
    <t>X^2</t>
  </si>
  <si>
    <t>D</t>
  </si>
  <si>
    <t>X^3</t>
  </si>
  <si>
    <r>
      <t>Right Part of the Curve (LL</t>
    </r>
    <r>
      <rPr>
        <b/>
        <u/>
        <sz val="11"/>
        <color indexed="8"/>
        <rFont val="Calibri"/>
        <family val="2"/>
      </rPr>
      <t>&gt;</t>
    </r>
    <r>
      <rPr>
        <b/>
        <sz val="11"/>
        <color indexed="8"/>
        <rFont val="Calibri"/>
        <family val="2"/>
      </rPr>
      <t>120)</t>
    </r>
  </si>
  <si>
    <r>
      <t xml:space="preserve">Left Part of the Plot (40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LL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120)</t>
    </r>
  </si>
  <si>
    <t>Output</t>
  </si>
  <si>
    <t>Input</t>
  </si>
  <si>
    <t>Residual Strength</t>
  </si>
  <si>
    <t>Fully Softened Strength</t>
  </si>
  <si>
    <t>Fully Softened</t>
  </si>
  <si>
    <t>Residual</t>
  </si>
  <si>
    <t>Drained Residual and Fully Softened Secant Friction Angles &amp; Shear Stresses</t>
  </si>
  <si>
    <t>LL (%)</t>
  </si>
  <si>
    <t>NA</t>
  </si>
  <si>
    <t>Secant Friction Angle, φ' (degrees)</t>
  </si>
  <si>
    <t>Shear Stress, τ (kPa)</t>
  </si>
  <si>
    <t>CF (%)</t>
  </si>
  <si>
    <t>www.tstark.net</t>
  </si>
  <si>
    <r>
      <t>σ'</t>
    </r>
    <r>
      <rPr>
        <b/>
        <vertAlign val="subscript"/>
        <sz val="12"/>
        <color indexed="8"/>
        <rFont val="Calibri"/>
        <family val="2"/>
      </rPr>
      <t xml:space="preserve">n </t>
    </r>
    <r>
      <rPr>
        <b/>
        <sz val="12"/>
        <color indexed="8"/>
        <rFont val="Calibri"/>
        <family val="2"/>
      </rPr>
      <t xml:space="preserve">  (kPa/psf)</t>
    </r>
  </si>
  <si>
    <t>12/250</t>
  </si>
  <si>
    <t>700/14,620</t>
  </si>
  <si>
    <t>400/8,354</t>
  </si>
  <si>
    <t>100/2,088</t>
  </si>
  <si>
    <t>50/1,044</t>
  </si>
  <si>
    <t>LL</t>
  </si>
  <si>
    <t>a</t>
  </si>
  <si>
    <t>b</t>
  </si>
  <si>
    <t>Pa</t>
  </si>
  <si>
    <t>kPa</t>
  </si>
  <si>
    <t>σ(kpa)</t>
  </si>
  <si>
    <t>τ(kpa)</t>
  </si>
  <si>
    <t>CF#1</t>
  </si>
  <si>
    <t>CF#2</t>
  </si>
  <si>
    <t>CF#3</t>
  </si>
  <si>
    <t>Fully Softened Strength Power Function</t>
  </si>
  <si>
    <t>a for CF &lt;20</t>
  </si>
  <si>
    <t>a for CF 20-45</t>
  </si>
  <si>
    <t>a for CF &gt;50</t>
  </si>
  <si>
    <t>Fully Softened Strength Power Function Points</t>
  </si>
  <si>
    <t>Equations developed by Stark and Hussain (2013) and Stark et. al (2016)</t>
  </si>
  <si>
    <r>
      <t>σ'</t>
    </r>
    <r>
      <rPr>
        <b/>
        <sz val="8"/>
        <color theme="1"/>
        <rFont val="Calibri"/>
        <family val="2"/>
      </rPr>
      <t>n</t>
    </r>
    <r>
      <rPr>
        <b/>
        <sz val="12"/>
        <color theme="1"/>
        <rFont val="Calibri"/>
        <family val="2"/>
      </rPr>
      <t>(kPa)</t>
    </r>
  </si>
  <si>
    <r>
      <rPr>
        <b/>
        <sz val="14"/>
        <color theme="1"/>
        <rFont val="Calibri"/>
        <family val="2"/>
        <scheme val="minor"/>
      </rPr>
      <t>τ</t>
    </r>
    <r>
      <rPr>
        <b/>
        <sz val="6"/>
        <color theme="1"/>
        <rFont val="Calibri"/>
        <family val="2"/>
        <scheme val="minor"/>
      </rPr>
      <t>FSS</t>
    </r>
    <r>
      <rPr>
        <b/>
        <sz val="12"/>
        <color theme="1"/>
        <rFont val="Calibri"/>
        <family val="2"/>
        <scheme val="minor"/>
      </rPr>
      <t>(kPa)</t>
    </r>
  </si>
  <si>
    <r>
      <rPr>
        <b/>
        <sz val="14"/>
        <color theme="1"/>
        <rFont val="Calibri"/>
        <family val="2"/>
        <scheme val="minor"/>
      </rPr>
      <t>τ</t>
    </r>
    <r>
      <rPr>
        <b/>
        <sz val="6"/>
        <color theme="1"/>
        <rFont val="Calibri"/>
        <family val="2"/>
        <scheme val="minor"/>
      </rPr>
      <t>R</t>
    </r>
    <r>
      <rPr>
        <b/>
        <sz val="12"/>
        <color theme="1"/>
        <rFont val="Calibri"/>
        <family val="2"/>
        <scheme val="minor"/>
      </rPr>
      <t>(kPa)</t>
    </r>
  </si>
  <si>
    <r>
      <t xml:space="preserve">CF </t>
    </r>
    <r>
      <rPr>
        <sz val="11"/>
        <color theme="1"/>
        <rFont val="Calibri"/>
        <family val="2"/>
      </rPr>
      <t>≤</t>
    </r>
    <r>
      <rPr>
        <sz val="7.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>20 %</t>
    </r>
  </si>
  <si>
    <t>20% ≤ CF ≤ 45%</t>
  </si>
  <si>
    <r>
      <t xml:space="preserve">CF </t>
    </r>
    <r>
      <rPr>
        <sz val="11"/>
        <color theme="1"/>
        <rFont val="Calibri"/>
        <family val="2"/>
      </rPr>
      <t>≥ 50%</t>
    </r>
  </si>
  <si>
    <t>−</t>
  </si>
  <si>
    <t>Residual Strength Power Function</t>
  </si>
  <si>
    <t>Residual Strength Power Function Points</t>
  </si>
  <si>
    <r>
      <t>σ'</t>
    </r>
    <r>
      <rPr>
        <b/>
        <sz val="8"/>
        <color theme="1"/>
        <rFont val="Calibri"/>
        <family val="2"/>
      </rPr>
      <t>n</t>
    </r>
    <r>
      <rPr>
        <b/>
        <sz val="12"/>
        <color theme="1"/>
        <rFont val="Calibri"/>
        <family val="2"/>
      </rPr>
      <t>(psf)</t>
    </r>
  </si>
  <si>
    <r>
      <rPr>
        <b/>
        <sz val="14"/>
        <color theme="1"/>
        <rFont val="Calibri"/>
        <family val="2"/>
        <scheme val="minor"/>
      </rPr>
      <t>τ</t>
    </r>
    <r>
      <rPr>
        <b/>
        <sz val="6"/>
        <color theme="1"/>
        <rFont val="Calibri"/>
        <family val="2"/>
        <scheme val="minor"/>
      </rPr>
      <t>FSS</t>
    </r>
    <r>
      <rPr>
        <b/>
        <sz val="12"/>
        <color theme="1"/>
        <rFont val="Calibri"/>
        <family val="2"/>
        <scheme val="minor"/>
      </rPr>
      <t>(psf)</t>
    </r>
  </si>
  <si>
    <r>
      <rPr>
        <b/>
        <sz val="14"/>
        <color theme="1"/>
        <rFont val="Calibri"/>
        <family val="2"/>
        <scheme val="minor"/>
      </rPr>
      <t>τ</t>
    </r>
    <r>
      <rPr>
        <b/>
        <sz val="6"/>
        <color theme="1"/>
        <rFont val="Calibri"/>
        <family val="2"/>
        <scheme val="minor"/>
      </rPr>
      <t>R</t>
    </r>
    <r>
      <rPr>
        <b/>
        <sz val="12"/>
        <color theme="1"/>
        <rFont val="Calibri"/>
        <family val="2"/>
        <scheme val="minor"/>
      </rPr>
      <t>(psf)</t>
    </r>
  </si>
  <si>
    <t>psf</t>
  </si>
  <si>
    <t>σ(psf)</t>
  </si>
  <si>
    <t>τ(psf)</t>
  </si>
  <si>
    <t>Shear Stress, τ (psf)</t>
  </si>
  <si>
    <r>
      <t>Ф'</t>
    </r>
    <r>
      <rPr>
        <b/>
        <sz val="8"/>
        <color theme="1"/>
        <rFont val="Calibri"/>
        <family val="2"/>
      </rPr>
      <t>FSS</t>
    </r>
    <r>
      <rPr>
        <b/>
        <sz val="12"/>
        <color theme="1"/>
        <rFont val="Calibri"/>
        <family val="2"/>
      </rPr>
      <t>(deg)</t>
    </r>
  </si>
  <si>
    <r>
      <t>Ф'</t>
    </r>
    <r>
      <rPr>
        <b/>
        <sz val="8"/>
        <color theme="1"/>
        <rFont val="Calibri"/>
        <family val="2"/>
      </rPr>
      <t>R</t>
    </r>
    <r>
      <rPr>
        <b/>
        <sz val="12"/>
        <color theme="1"/>
        <rFont val="Calibri"/>
        <family val="2"/>
      </rPr>
      <t>(deg)</t>
    </r>
  </si>
  <si>
    <r>
      <rPr>
        <b/>
        <sz val="14"/>
        <color theme="1"/>
        <rFont val="Calibri"/>
        <family val="2"/>
      </rPr>
      <t>Ф</t>
    </r>
    <r>
      <rPr>
        <b/>
        <sz val="14"/>
        <color theme="1"/>
        <rFont val="Calibri"/>
        <family val="2"/>
        <scheme val="minor"/>
      </rPr>
      <t>'</t>
    </r>
    <r>
      <rPr>
        <b/>
        <sz val="6"/>
        <color theme="1"/>
        <rFont val="Calibri"/>
        <family val="2"/>
        <scheme val="minor"/>
      </rPr>
      <t>R</t>
    </r>
    <r>
      <rPr>
        <b/>
        <sz val="12"/>
        <color theme="1"/>
        <rFont val="Calibri"/>
        <family val="2"/>
        <scheme val="minor"/>
      </rPr>
      <t>(deg)</t>
    </r>
  </si>
  <si>
    <r>
      <rPr>
        <b/>
        <sz val="14"/>
        <color theme="1"/>
        <rFont val="Calibri"/>
        <family val="2"/>
      </rPr>
      <t>Ф</t>
    </r>
    <r>
      <rPr>
        <b/>
        <sz val="12"/>
        <color theme="1"/>
        <rFont val="Calibri"/>
        <family val="2"/>
      </rPr>
      <t>'</t>
    </r>
    <r>
      <rPr>
        <b/>
        <sz val="6"/>
        <color theme="1"/>
        <rFont val="Calibri"/>
        <family val="2"/>
        <scheme val="minor"/>
      </rPr>
      <t>FSS</t>
    </r>
    <r>
      <rPr>
        <b/>
        <sz val="12"/>
        <color theme="1"/>
        <rFont val="Calibri"/>
        <family val="2"/>
        <scheme val="minor"/>
      </rPr>
      <t>(deg)</t>
    </r>
  </si>
  <si>
    <t>Group #1 (CF ≤20%)</t>
  </si>
  <si>
    <t>Minimum</t>
  </si>
  <si>
    <t>Maximum</t>
  </si>
  <si>
    <t>Group #2 (25≤CF ≤45%)</t>
  </si>
  <si>
    <t>Group #3 (CF ≥50%)</t>
  </si>
  <si>
    <t>Applicable Range</t>
  </si>
  <si>
    <t>FSS &amp; Residual Power Functions</t>
  </si>
  <si>
    <t>Aplicable 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</si>
</sst>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00"/>
    <numFmt numFmtId="165" formatCode="0.000E+00"/>
    <numFmt numFmtId="166" formatCode="0.0"/>
    <numFmt numFmtId="167" formatCode="0.0000"/>
    <numFmt numFmtId="168" formatCode="0.00000"/>
    <numFmt numFmtId="169" formatCode="0.0000000"/>
    <numFmt numFmtId="170" formatCode="0.00000000"/>
    <numFmt numFmtId="171" formatCode="0.00000000000"/>
  </numFmts>
  <fonts count="4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b/>
      <sz val="11"/>
      <color indexed="10"/>
      <name val="Calibri"/>
      <family val="2"/>
    </font>
    <font>
      <b/>
      <u/>
      <sz val="11"/>
      <color indexed="8"/>
      <name val="Calibri"/>
      <family val="2"/>
    </font>
    <font>
      <sz val="16"/>
      <color indexed="8"/>
      <name val="Calibri"/>
      <family val="2"/>
    </font>
    <font>
      <sz val="12"/>
      <color indexed="8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10"/>
      <name val="Calibri"/>
      <family val="2"/>
    </font>
    <font>
      <sz val="12"/>
      <color indexed="13"/>
      <name val="Calibri"/>
      <family val="2"/>
    </font>
    <font>
      <sz val="11"/>
      <color indexed="13"/>
      <name val="Calibri"/>
      <family val="2"/>
    </font>
    <font>
      <b/>
      <sz val="12"/>
      <color indexed="13"/>
      <name val="Calibri"/>
      <family val="2"/>
    </font>
    <font>
      <b/>
      <sz val="2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Calibri"/>
      <family val="2"/>
    </font>
    <font>
      <b/>
      <u/>
      <sz val="16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.7"/>
      <color theme="1"/>
      <name val="Calibri"/>
      <family val="2"/>
    </font>
    <font>
      <b/>
      <sz val="14"/>
      <color rgb="FF000000"/>
      <name val="Calibri"/>
      <family val="2"/>
      <scheme val="minor"/>
    </font>
    <font>
      <u/>
      <sz val="22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</font>
    <font>
      <b/>
      <sz val="12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1FFB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18" fillId="0" borderId="0" applyNumberFormat="0" applyFill="0" applyBorder="0" applyAlignment="0" applyProtection="0"/>
  </cellStyleXfs>
  <cellXfs count="219">
    <xf numFmtId="0" fontId="0" fillId="0" borderId="0" xfId="0"/>
    <xf numFmtId="0" fontId="0" fillId="0" borderId="0" xfId="0" applyProtection="1"/>
    <xf numFmtId="0" fontId="0" fillId="0" borderId="0" xfId="0" applyFill="1" applyBorder="1" applyProtection="1"/>
    <xf numFmtId="0" fontId="8" fillId="0" borderId="0" xfId="0" applyFont="1" applyProtection="1"/>
    <xf numFmtId="0" fontId="0" fillId="0" borderId="0" xfId="0" applyBorder="1" applyProtection="1"/>
    <xf numFmtId="0" fontId="13" fillId="4" borderId="9" xfId="0" applyFont="1" applyFill="1" applyBorder="1" applyProtection="1"/>
    <xf numFmtId="0" fontId="1" fillId="4" borderId="9" xfId="0" applyFont="1" applyFill="1" applyBorder="1" applyAlignment="1" applyProtection="1">
      <alignment horizontal="center"/>
    </xf>
    <xf numFmtId="166" fontId="6" fillId="4" borderId="9" xfId="0" applyNumberFormat="1" applyFont="1" applyFill="1" applyBorder="1" applyAlignment="1" applyProtection="1">
      <alignment horizontal="center"/>
    </xf>
    <xf numFmtId="0" fontId="6" fillId="4" borderId="9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166" fontId="6" fillId="4" borderId="1" xfId="0" applyNumberFormat="1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0" fontId="0" fillId="5" borderId="1" xfId="0" applyFill="1" applyBorder="1" applyProtection="1"/>
    <xf numFmtId="2" fontId="0" fillId="5" borderId="0" xfId="0" applyNumberFormat="1" applyFill="1" applyProtection="1"/>
    <xf numFmtId="164" fontId="0" fillId="5" borderId="0" xfId="0" applyNumberFormat="1" applyFill="1" applyProtection="1"/>
    <xf numFmtId="165" fontId="0" fillId="5" borderId="0" xfId="0" applyNumberFormat="1" applyFill="1" applyProtection="1"/>
    <xf numFmtId="0" fontId="1" fillId="7" borderId="1" xfId="0" applyFont="1" applyFill="1" applyBorder="1" applyProtection="1"/>
    <xf numFmtId="164" fontId="0" fillId="7" borderId="0" xfId="0" applyNumberFormat="1" applyFont="1" applyFill="1" applyProtection="1"/>
    <xf numFmtId="168" fontId="0" fillId="7" borderId="0" xfId="0" applyNumberFormat="1" applyFill="1" applyProtection="1"/>
    <xf numFmtId="170" fontId="0" fillId="7" borderId="0" xfId="0" applyNumberFormat="1" applyFill="1" applyProtection="1"/>
    <xf numFmtId="0" fontId="0" fillId="2" borderId="1" xfId="0" applyFill="1" applyBorder="1" applyProtection="1"/>
    <xf numFmtId="2" fontId="0" fillId="2" borderId="0" xfId="0" applyNumberFormat="1" applyFill="1" applyProtection="1"/>
    <xf numFmtId="164" fontId="0" fillId="2" borderId="0" xfId="0" applyNumberFormat="1" applyFill="1" applyProtection="1"/>
    <xf numFmtId="165" fontId="0" fillId="2" borderId="0" xfId="0" applyNumberFormat="1" applyFill="1" applyProtection="1"/>
    <xf numFmtId="0" fontId="1" fillId="3" borderId="1" xfId="0" applyFont="1" applyFill="1" applyBorder="1" applyProtection="1"/>
    <xf numFmtId="164" fontId="0" fillId="3" borderId="0" xfId="0" applyNumberFormat="1" applyFill="1" applyProtection="1"/>
    <xf numFmtId="168" fontId="0" fillId="3" borderId="0" xfId="0" applyNumberFormat="1" applyFill="1" applyProtection="1"/>
    <xf numFmtId="169" fontId="0" fillId="3" borderId="0" xfId="0" applyNumberFormat="1" applyFill="1" applyProtection="1"/>
    <xf numFmtId="0" fontId="0" fillId="3" borderId="1" xfId="0" applyFill="1" applyBorder="1" applyProtection="1"/>
    <xf numFmtId="2" fontId="0" fillId="3" borderId="0" xfId="0" applyNumberFormat="1" applyFill="1" applyProtection="1"/>
    <xf numFmtId="165" fontId="0" fillId="3" borderId="0" xfId="0" applyNumberFormat="1" applyFill="1" applyProtection="1"/>
    <xf numFmtId="0" fontId="1" fillId="6" borderId="1" xfId="0" applyFont="1" applyFill="1" applyBorder="1" applyProtection="1"/>
    <xf numFmtId="164" fontId="0" fillId="6" borderId="0" xfId="0" applyNumberFormat="1" applyFill="1" applyProtection="1"/>
    <xf numFmtId="168" fontId="0" fillId="6" borderId="0" xfId="0" applyNumberFormat="1" applyFill="1" applyProtection="1"/>
    <xf numFmtId="169" fontId="0" fillId="6" borderId="0" xfId="0" applyNumberFormat="1" applyFill="1" applyProtection="1"/>
    <xf numFmtId="0" fontId="0" fillId="6" borderId="1" xfId="0" applyFill="1" applyBorder="1" applyProtection="1"/>
    <xf numFmtId="2" fontId="0" fillId="6" borderId="0" xfId="0" applyNumberFormat="1" applyFill="1" applyProtection="1"/>
    <xf numFmtId="165" fontId="0" fillId="6" borderId="0" xfId="0" applyNumberFormat="1" applyFill="1" applyProtection="1"/>
    <xf numFmtId="0" fontId="13" fillId="3" borderId="1" xfId="0" applyFont="1" applyFill="1" applyBorder="1" applyProtection="1"/>
    <xf numFmtId="0" fontId="1" fillId="3" borderId="1" xfId="0" applyFont="1" applyFill="1" applyBorder="1" applyAlignment="1" applyProtection="1">
      <alignment horizontal="center"/>
    </xf>
    <xf numFmtId="166" fontId="6" fillId="3" borderId="1" xfId="0" applyNumberFormat="1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166" fontId="0" fillId="5" borderId="0" xfId="0" applyNumberFormat="1" applyFill="1" applyProtection="1"/>
    <xf numFmtId="11" fontId="0" fillId="5" borderId="0" xfId="0" applyNumberFormat="1" applyFill="1" applyProtection="1"/>
    <xf numFmtId="166" fontId="0" fillId="7" borderId="0" xfId="0" applyNumberFormat="1" applyFill="1" applyProtection="1"/>
    <xf numFmtId="11" fontId="0" fillId="7" borderId="0" xfId="0" applyNumberFormat="1" applyFill="1" applyProtection="1"/>
    <xf numFmtId="170" fontId="0" fillId="3" borderId="0" xfId="0" applyNumberFormat="1" applyFill="1" applyProtection="1"/>
    <xf numFmtId="166" fontId="0" fillId="3" borderId="0" xfId="0" applyNumberFormat="1" applyFill="1" applyProtection="1"/>
    <xf numFmtId="11" fontId="0" fillId="3" borderId="0" xfId="0" applyNumberFormat="1" applyFill="1" applyProtection="1"/>
    <xf numFmtId="170" fontId="0" fillId="6" borderId="0" xfId="0" applyNumberFormat="1" applyFill="1" applyProtection="1"/>
    <xf numFmtId="166" fontId="0" fillId="6" borderId="0" xfId="0" applyNumberFormat="1" applyFill="1" applyProtection="1"/>
    <xf numFmtId="11" fontId="0" fillId="6" borderId="0" xfId="0" applyNumberFormat="1" applyFill="1" applyProtection="1"/>
    <xf numFmtId="0" fontId="1" fillId="4" borderId="0" xfId="0" applyFont="1" applyFill="1" applyAlignment="1" applyProtection="1">
      <alignment horizontal="left"/>
    </xf>
    <xf numFmtId="0" fontId="1" fillId="4" borderId="0" xfId="0" applyFont="1" applyFill="1" applyAlignment="1" applyProtection="1">
      <alignment horizontal="center"/>
    </xf>
    <xf numFmtId="0" fontId="13" fillId="8" borderId="1" xfId="0" applyFont="1" applyFill="1" applyBorder="1" applyProtection="1"/>
    <xf numFmtId="0" fontId="1" fillId="8" borderId="1" xfId="0" applyFont="1" applyFill="1" applyBorder="1" applyAlignment="1" applyProtection="1">
      <alignment horizontal="center"/>
    </xf>
    <xf numFmtId="166" fontId="6" fillId="8" borderId="1" xfId="0" applyNumberFormat="1" applyFont="1" applyFill="1" applyBorder="1" applyAlignment="1" applyProtection="1">
      <alignment horizontal="center"/>
    </xf>
    <xf numFmtId="0" fontId="6" fillId="8" borderId="1" xfId="0" applyFont="1" applyFill="1" applyBorder="1" applyAlignment="1" applyProtection="1">
      <alignment horizontal="center"/>
    </xf>
    <xf numFmtId="0" fontId="4" fillId="8" borderId="7" xfId="0" applyFont="1" applyFill="1" applyBorder="1" applyAlignment="1" applyProtection="1">
      <alignment horizontal="center"/>
    </xf>
    <xf numFmtId="0" fontId="0" fillId="8" borderId="1" xfId="0" applyFill="1" applyBorder="1" applyProtection="1"/>
    <xf numFmtId="2" fontId="0" fillId="0" borderId="0" xfId="0" applyNumberFormat="1" applyProtection="1"/>
    <xf numFmtId="167" fontId="0" fillId="0" borderId="0" xfId="0" applyNumberFormat="1" applyProtection="1"/>
    <xf numFmtId="11" fontId="0" fillId="0" borderId="0" xfId="0" applyNumberFormat="1" applyProtection="1"/>
    <xf numFmtId="165" fontId="0" fillId="0" borderId="0" xfId="0" applyNumberFormat="1" applyProtection="1"/>
    <xf numFmtId="0" fontId="1" fillId="8" borderId="1" xfId="0" applyFont="1" applyFill="1" applyBorder="1" applyProtection="1"/>
    <xf numFmtId="2" fontId="0" fillId="7" borderId="0" xfId="0" applyNumberFormat="1" applyFont="1" applyFill="1" applyProtection="1"/>
    <xf numFmtId="171" fontId="0" fillId="7" borderId="0" xfId="0" applyNumberFormat="1" applyFill="1" applyProtection="1"/>
    <xf numFmtId="171" fontId="0" fillId="3" borderId="0" xfId="0" applyNumberFormat="1" applyFill="1" applyProtection="1"/>
    <xf numFmtId="171" fontId="0" fillId="6" borderId="0" xfId="0" applyNumberFormat="1" applyFill="1" applyProtection="1"/>
    <xf numFmtId="164" fontId="0" fillId="0" borderId="0" xfId="0" applyNumberFormat="1" applyProtection="1"/>
    <xf numFmtId="0" fontId="0" fillId="11" borderId="0" xfId="0" applyFill="1" applyProtection="1"/>
    <xf numFmtId="0" fontId="10" fillId="11" borderId="1" xfId="0" applyFont="1" applyFill="1" applyBorder="1" applyProtection="1"/>
    <xf numFmtId="0" fontId="0" fillId="0" borderId="0" xfId="0" applyProtection="1">
      <protection locked="0"/>
    </xf>
    <xf numFmtId="0" fontId="4" fillId="13" borderId="1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/>
    </xf>
    <xf numFmtId="166" fontId="0" fillId="4" borderId="0" xfId="0" applyNumberFormat="1" applyFill="1" applyBorder="1" applyAlignment="1" applyProtection="1">
      <alignment horizontal="center"/>
    </xf>
    <xf numFmtId="166" fontId="0" fillId="4" borderId="8" xfId="0" applyNumberFormat="1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166" fontId="0" fillId="4" borderId="5" xfId="0" applyNumberFormat="1" applyFill="1" applyBorder="1" applyAlignment="1" applyProtection="1">
      <alignment horizontal="center"/>
    </xf>
    <xf numFmtId="166" fontId="0" fillId="4" borderId="6" xfId="0" applyNumberFormat="1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166" fontId="0" fillId="3" borderId="3" xfId="0" applyNumberFormat="1" applyFill="1" applyBorder="1" applyAlignment="1" applyProtection="1">
      <alignment horizontal="center"/>
    </xf>
    <xf numFmtId="166" fontId="0" fillId="3" borderId="4" xfId="0" applyNumberFormat="1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166" fontId="0" fillId="3" borderId="5" xfId="0" applyNumberFormat="1" applyFill="1" applyBorder="1" applyAlignment="1" applyProtection="1">
      <alignment horizontal="center"/>
    </xf>
    <xf numFmtId="166" fontId="0" fillId="3" borderId="6" xfId="0" applyNumberFormat="1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166" fontId="0" fillId="8" borderId="3" xfId="0" applyNumberFormat="1" applyFill="1" applyBorder="1" applyAlignment="1" applyProtection="1">
      <alignment horizontal="center"/>
    </xf>
    <xf numFmtId="166" fontId="0" fillId="8" borderId="4" xfId="0" applyNumberForma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166" fontId="0" fillId="8" borderId="0" xfId="0" applyNumberFormat="1" applyFill="1" applyBorder="1" applyAlignment="1" applyProtection="1">
      <alignment horizontal="center"/>
    </xf>
    <xf numFmtId="166" fontId="0" fillId="8" borderId="8" xfId="0" applyNumberFormat="1" applyFill="1" applyBorder="1" applyAlignment="1" applyProtection="1">
      <alignment horizontal="center"/>
    </xf>
    <xf numFmtId="0" fontId="6" fillId="8" borderId="5" xfId="0" applyFont="1" applyFill="1" applyBorder="1" applyAlignment="1" applyProtection="1">
      <alignment horizontal="center"/>
    </xf>
    <xf numFmtId="166" fontId="6" fillId="8" borderId="5" xfId="0" applyNumberFormat="1" applyFont="1" applyFill="1" applyBorder="1" applyAlignment="1" applyProtection="1">
      <alignment horizontal="center"/>
    </xf>
    <xf numFmtId="166" fontId="6" fillId="8" borderId="6" xfId="0" applyNumberFormat="1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166" fontId="0" fillId="4" borderId="3" xfId="0" applyNumberFormat="1" applyFill="1" applyBorder="1" applyAlignment="1" applyProtection="1">
      <alignment horizontal="center"/>
    </xf>
    <xf numFmtId="166" fontId="0" fillId="4" borderId="4" xfId="0" applyNumberForma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  <protection locked="0"/>
    </xf>
    <xf numFmtId="0" fontId="0" fillId="14" borderId="1" xfId="0" applyFill="1" applyBorder="1" applyProtection="1"/>
    <xf numFmtId="0" fontId="4" fillId="11" borderId="1" xfId="0" applyFont="1" applyFill="1" applyBorder="1" applyAlignment="1" applyProtection="1">
      <alignment horizontal="center"/>
    </xf>
    <xf numFmtId="0" fontId="22" fillId="0" borderId="0" xfId="7" applyFont="1"/>
    <xf numFmtId="0" fontId="24" fillId="0" borderId="0" xfId="0" applyFont="1"/>
    <xf numFmtId="0" fontId="26" fillId="0" borderId="0" xfId="7" applyFont="1" applyAlignment="1">
      <alignment horizontal="left"/>
    </xf>
    <xf numFmtId="0" fontId="23" fillId="15" borderId="0" xfId="0" applyFont="1" applyFill="1" applyProtection="1"/>
    <xf numFmtId="0" fontId="0" fillId="16" borderId="0" xfId="0" applyFill="1" applyProtection="1"/>
    <xf numFmtId="0" fontId="0" fillId="17" borderId="0" xfId="0" applyFill="1" applyProtection="1"/>
    <xf numFmtId="0" fontId="0" fillId="18" borderId="0" xfId="0" applyFill="1" applyProtection="1"/>
    <xf numFmtId="0" fontId="0" fillId="19" borderId="0" xfId="0" applyFill="1" applyProtection="1"/>
    <xf numFmtId="0" fontId="0" fillId="20" borderId="0" xfId="0" applyFill="1"/>
    <xf numFmtId="0" fontId="22" fillId="20" borderId="0" xfId="7" applyFont="1" applyFill="1"/>
    <xf numFmtId="0" fontId="0" fillId="13" borderId="0" xfId="0" applyFill="1"/>
    <xf numFmtId="0" fontId="4" fillId="4" borderId="1" xfId="0" applyFont="1" applyFill="1" applyBorder="1" applyAlignment="1" applyProtection="1">
      <alignment horizontal="center"/>
    </xf>
    <xf numFmtId="0" fontId="20" fillId="11" borderId="0" xfId="0" applyFont="1" applyFill="1" applyBorder="1" applyAlignment="1" applyProtection="1">
      <alignment vertical="center" wrapText="1"/>
    </xf>
    <xf numFmtId="0" fontId="12" fillId="11" borderId="0" xfId="0" applyFont="1" applyFill="1" applyBorder="1" applyAlignment="1" applyProtection="1"/>
    <xf numFmtId="0" fontId="1" fillId="11" borderId="0" xfId="0" applyFont="1" applyFill="1" applyBorder="1" applyAlignment="1" applyProtection="1">
      <alignment horizontal="center"/>
    </xf>
    <xf numFmtId="0" fontId="16" fillId="11" borderId="0" xfId="0" applyFont="1" applyFill="1" applyBorder="1" applyAlignment="1" applyProtection="1"/>
    <xf numFmtId="1" fontId="15" fillId="11" borderId="0" xfId="0" applyNumberFormat="1" applyFont="1" applyFill="1" applyBorder="1" applyAlignment="1" applyProtection="1"/>
    <xf numFmtId="0" fontId="0" fillId="11" borderId="0" xfId="0" applyFill="1" applyBorder="1" applyProtection="1"/>
    <xf numFmtId="0" fontId="4" fillId="11" borderId="0" xfId="0" applyFont="1" applyFill="1" applyBorder="1" applyAlignment="1" applyProtection="1">
      <alignment horizontal="center" vertical="center"/>
    </xf>
    <xf numFmtId="0" fontId="4" fillId="11" borderId="0" xfId="0" applyFont="1" applyFill="1" applyBorder="1" applyAlignment="1" applyProtection="1">
      <alignment horizontal="center" vertical="center" wrapText="1"/>
    </xf>
    <xf numFmtId="0" fontId="29" fillId="14" borderId="1" xfId="0" applyFont="1" applyFill="1" applyBorder="1" applyAlignment="1" applyProtection="1">
      <alignment horizontal="center"/>
    </xf>
    <xf numFmtId="0" fontId="31" fillId="14" borderId="1" xfId="0" applyFont="1" applyFill="1" applyBorder="1" applyAlignment="1" applyProtection="1">
      <alignment horizontal="center"/>
    </xf>
    <xf numFmtId="0" fontId="21" fillId="11" borderId="0" xfId="0" applyFont="1" applyFill="1" applyBorder="1" applyAlignment="1" applyProtection="1">
      <alignment horizontal="center"/>
    </xf>
    <xf numFmtId="167" fontId="0" fillId="0" borderId="0" xfId="0" applyNumberFormat="1"/>
    <xf numFmtId="0" fontId="0" fillId="0" borderId="0" xfId="0" applyBorder="1" applyAlignment="1">
      <alignment horizontal="center" vertical="center"/>
    </xf>
    <xf numFmtId="167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67" fontId="23" fillId="0" borderId="0" xfId="0" applyNumberFormat="1" applyFont="1" applyBorder="1" applyAlignment="1">
      <alignment horizontal="center"/>
    </xf>
    <xf numFmtId="167" fontId="23" fillId="0" borderId="5" xfId="0" applyNumberFormat="1" applyFont="1" applyBorder="1" applyAlignment="1">
      <alignment horizontal="center"/>
    </xf>
    <xf numFmtId="0" fontId="0" fillId="23" borderId="0" xfId="0" applyFill="1"/>
    <xf numFmtId="0" fontId="35" fillId="0" borderId="0" xfId="0" applyFont="1"/>
    <xf numFmtId="0" fontId="4" fillId="4" borderId="1" xfId="0" applyFont="1" applyFill="1" applyBorder="1" applyAlignment="1" applyProtection="1">
      <alignment horizontal="center"/>
    </xf>
    <xf numFmtId="0" fontId="21" fillId="11" borderId="0" xfId="0" applyFont="1" applyFill="1" applyBorder="1" applyAlignment="1" applyProtection="1">
      <alignment horizontal="center"/>
    </xf>
    <xf numFmtId="0" fontId="36" fillId="11" borderId="0" xfId="8" applyFont="1" applyFill="1" applyAlignment="1">
      <alignment horizontal="center"/>
    </xf>
    <xf numFmtId="0" fontId="37" fillId="11" borderId="0" xfId="0" applyFont="1" applyFill="1" applyAlignment="1">
      <alignment horizontal="center"/>
    </xf>
    <xf numFmtId="0" fontId="41" fillId="11" borderId="0" xfId="0" applyFont="1" applyFill="1"/>
    <xf numFmtId="1" fontId="27" fillId="11" borderId="0" xfId="0" applyNumberFormat="1" applyFont="1" applyFill="1" applyBorder="1" applyAlignment="1" applyProtection="1">
      <alignment horizontal="center"/>
    </xf>
    <xf numFmtId="166" fontId="40" fillId="11" borderId="0" xfId="0" applyNumberFormat="1" applyFont="1" applyFill="1" applyBorder="1" applyAlignment="1" applyProtection="1">
      <alignment horizontal="center"/>
    </xf>
    <xf numFmtId="1" fontId="38" fillId="11" borderId="0" xfId="0" applyNumberFormat="1" applyFont="1" applyFill="1" applyBorder="1" applyAlignment="1" applyProtection="1">
      <alignment horizontal="center"/>
    </xf>
    <xf numFmtId="166" fontId="39" fillId="11" borderId="0" xfId="0" applyNumberFormat="1" applyFont="1" applyFill="1" applyBorder="1" applyAlignment="1" applyProtection="1">
      <alignment horizontal="center"/>
    </xf>
    <xf numFmtId="1" fontId="28" fillId="11" borderId="0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7" fillId="0" borderId="0" xfId="0" applyFont="1" applyFill="1" applyAlignment="1">
      <alignment horizontal="center"/>
    </xf>
    <xf numFmtId="0" fontId="4" fillId="11" borderId="0" xfId="0" applyFont="1" applyFill="1" applyBorder="1" applyAlignment="1" applyProtection="1">
      <alignment horizontal="center" vertical="center"/>
    </xf>
    <xf numFmtId="0" fontId="24" fillId="11" borderId="0" xfId="0" applyFont="1" applyFill="1" applyBorder="1" applyAlignment="1" applyProtection="1">
      <alignment horizontal="center" vertical="center"/>
    </xf>
    <xf numFmtId="0" fontId="0" fillId="11" borderId="0" xfId="0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0" fillId="0" borderId="0" xfId="0" applyFont="1" applyFill="1" applyProtection="1"/>
    <xf numFmtId="0" fontId="31" fillId="24" borderId="1" xfId="0" applyFont="1" applyFill="1" applyBorder="1" applyAlignment="1" applyProtection="1">
      <alignment horizontal="center" vertical="center"/>
    </xf>
    <xf numFmtId="0" fontId="31" fillId="14" borderId="1" xfId="0" applyFont="1" applyFill="1" applyBorder="1" applyAlignment="1" applyProtection="1">
      <alignment horizontal="center" vertical="center"/>
    </xf>
    <xf numFmtId="0" fontId="27" fillId="24" borderId="1" xfId="0" applyFont="1" applyFill="1" applyBorder="1" applyAlignment="1" applyProtection="1">
      <alignment horizontal="center" vertical="center"/>
    </xf>
    <xf numFmtId="0" fontId="27" fillId="14" borderId="1" xfId="0" applyFont="1" applyFill="1" applyBorder="1" applyAlignment="1" applyProtection="1">
      <alignment horizontal="center" vertical="center"/>
    </xf>
    <xf numFmtId="0" fontId="27" fillId="11" borderId="0" xfId="0" applyFont="1" applyFill="1" applyAlignment="1" applyProtection="1">
      <alignment vertical="center"/>
    </xf>
    <xf numFmtId="0" fontId="27" fillId="13" borderId="1" xfId="0" applyFont="1" applyFill="1" applyBorder="1" applyAlignment="1" applyProtection="1">
      <alignment horizontal="center" vertical="center"/>
    </xf>
    <xf numFmtId="0" fontId="40" fillId="12" borderId="1" xfId="0" applyFont="1" applyFill="1" applyBorder="1" applyAlignment="1" applyProtection="1">
      <alignment horizontal="center" vertical="center"/>
    </xf>
    <xf numFmtId="1" fontId="38" fillId="12" borderId="1" xfId="0" applyNumberFormat="1" applyFont="1" applyFill="1" applyBorder="1" applyAlignment="1" applyProtection="1">
      <alignment horizontal="center" vertical="center"/>
    </xf>
    <xf numFmtId="0" fontId="39" fillId="21" borderId="1" xfId="0" applyFont="1" applyFill="1" applyBorder="1" applyAlignment="1" applyProtection="1">
      <alignment horizontal="center" vertical="center"/>
    </xf>
    <xf numFmtId="1" fontId="28" fillId="21" borderId="1" xfId="0" applyNumberFormat="1" applyFont="1" applyFill="1" applyBorder="1" applyAlignment="1" applyProtection="1">
      <alignment horizontal="center" vertical="center"/>
    </xf>
    <xf numFmtId="166" fontId="40" fillId="12" borderId="1" xfId="0" applyNumberFormat="1" applyFont="1" applyFill="1" applyBorder="1" applyAlignment="1" applyProtection="1">
      <alignment horizontal="center" vertical="center"/>
    </xf>
    <xf numFmtId="166" fontId="38" fillId="12" borderId="1" xfId="0" applyNumberFormat="1" applyFont="1" applyFill="1" applyBorder="1" applyAlignment="1" applyProtection="1">
      <alignment horizontal="center" vertical="center"/>
    </xf>
    <xf numFmtId="166" fontId="39" fillId="21" borderId="1" xfId="0" applyNumberFormat="1" applyFont="1" applyFill="1" applyBorder="1" applyAlignment="1" applyProtection="1">
      <alignment horizontal="center" vertical="center"/>
    </xf>
    <xf numFmtId="166" fontId="28" fillId="21" borderId="1" xfId="0" applyNumberFormat="1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1" fontId="12" fillId="4" borderId="1" xfId="0" applyNumberFormat="1" applyFont="1" applyFill="1" applyBorder="1" applyAlignment="1" applyProtection="1">
      <alignment horizontal="center" vertical="center"/>
    </xf>
    <xf numFmtId="0" fontId="4" fillId="12" borderId="1" xfId="0" applyFont="1" applyFill="1" applyBorder="1" applyAlignment="1" applyProtection="1">
      <alignment horizontal="center" vertical="center"/>
    </xf>
    <xf numFmtId="0" fontId="9" fillId="12" borderId="1" xfId="0" applyFont="1" applyFill="1" applyBorder="1" applyAlignment="1" applyProtection="1">
      <alignment horizontal="center" vertical="center"/>
    </xf>
    <xf numFmtId="166" fontId="9" fillId="12" borderId="1" xfId="0" applyNumberFormat="1" applyFont="1" applyFill="1" applyBorder="1" applyAlignment="1" applyProtection="1">
      <alignment horizontal="center" vertical="center"/>
    </xf>
    <xf numFmtId="2" fontId="9" fillId="12" borderId="1" xfId="0" applyNumberFormat="1" applyFont="1" applyFill="1" applyBorder="1" applyAlignment="1" applyProtection="1">
      <alignment horizontal="center" vertical="center"/>
    </xf>
    <xf numFmtId="0" fontId="16" fillId="10" borderId="1" xfId="0" applyFont="1" applyFill="1" applyBorder="1" applyAlignment="1" applyProtection="1">
      <alignment horizontal="center" vertical="center"/>
    </xf>
    <xf numFmtId="166" fontId="14" fillId="10" borderId="1" xfId="0" applyNumberFormat="1" applyFont="1" applyFill="1" applyBorder="1" applyAlignment="1" applyProtection="1">
      <alignment horizontal="center" vertical="center"/>
    </xf>
    <xf numFmtId="2" fontId="14" fillId="10" borderId="1" xfId="0" applyNumberFormat="1" applyFont="1" applyFill="1" applyBorder="1" applyAlignment="1" applyProtection="1">
      <alignment horizontal="center" vertical="center"/>
    </xf>
    <xf numFmtId="0" fontId="29" fillId="14" borderId="1" xfId="0" applyFont="1" applyFill="1" applyBorder="1" applyAlignment="1" applyProtection="1">
      <alignment horizontal="center" vertical="center"/>
    </xf>
    <xf numFmtId="1" fontId="27" fillId="13" borderId="1" xfId="0" applyNumberFormat="1" applyFont="1" applyFill="1" applyBorder="1" applyAlignment="1" applyProtection="1">
      <alignment horizontal="center" vertical="center"/>
    </xf>
    <xf numFmtId="1" fontId="39" fillId="21" borderId="1" xfId="0" applyNumberFormat="1" applyFont="1" applyFill="1" applyBorder="1" applyAlignment="1" applyProtection="1">
      <alignment horizontal="center" vertical="center"/>
    </xf>
    <xf numFmtId="0" fontId="0" fillId="11" borderId="0" xfId="0" applyFill="1" applyAlignment="1" applyProtection="1">
      <alignment horizontal="center" vertical="center"/>
    </xf>
    <xf numFmtId="1" fontId="4" fillId="4" borderId="1" xfId="0" applyNumberFormat="1" applyFont="1" applyFill="1" applyBorder="1" applyAlignment="1" applyProtection="1">
      <alignment horizontal="center" vertical="center"/>
    </xf>
    <xf numFmtId="0" fontId="43" fillId="11" borderId="7" xfId="0" applyFont="1" applyFill="1" applyBorder="1" applyAlignment="1" applyProtection="1">
      <alignment horizontal="center" vertical="center"/>
    </xf>
    <xf numFmtId="0" fontId="43" fillId="11" borderId="2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25" fillId="9" borderId="7" xfId="0" applyFont="1" applyFill="1" applyBorder="1" applyAlignment="1" applyProtection="1">
      <alignment horizontal="center"/>
    </xf>
    <xf numFmtId="0" fontId="25" fillId="9" borderId="12" xfId="0" applyFont="1" applyFill="1" applyBorder="1" applyAlignment="1" applyProtection="1">
      <alignment horizontal="center"/>
    </xf>
    <xf numFmtId="0" fontId="25" fillId="9" borderId="2" xfId="0" applyFont="1" applyFill="1" applyBorder="1" applyAlignment="1" applyProtection="1">
      <alignment horizontal="center"/>
    </xf>
    <xf numFmtId="167" fontId="0" fillId="22" borderId="5" xfId="0" applyNumberFormat="1" applyFill="1" applyBorder="1" applyAlignment="1">
      <alignment horizontal="center" vertical="center"/>
    </xf>
    <xf numFmtId="0" fontId="0" fillId="22" borderId="5" xfId="0" applyFill="1" applyBorder="1" applyAlignment="1">
      <alignment horizontal="center" vertical="center"/>
    </xf>
    <xf numFmtId="0" fontId="36" fillId="11" borderId="0" xfId="8" applyFont="1" applyFill="1" applyAlignment="1">
      <alignment horizontal="center"/>
    </xf>
    <xf numFmtId="0" fontId="37" fillId="11" borderId="0" xfId="0" applyFont="1" applyFill="1" applyAlignment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0" fontId="25" fillId="9" borderId="7" xfId="0" applyFont="1" applyFill="1" applyBorder="1" applyAlignment="1" applyProtection="1">
      <alignment horizontal="left"/>
    </xf>
    <xf numFmtId="0" fontId="25" fillId="9" borderId="12" xfId="0" applyFont="1" applyFill="1" applyBorder="1" applyAlignment="1" applyProtection="1">
      <alignment horizontal="left"/>
    </xf>
    <xf numFmtId="0" fontId="25" fillId="9" borderId="2" xfId="0" applyFont="1" applyFill="1" applyBorder="1" applyAlignment="1" applyProtection="1">
      <alignment horizontal="left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8" borderId="10" xfId="0" applyFont="1" applyFill="1" applyBorder="1" applyAlignment="1" applyProtection="1">
      <alignment horizontal="center" vertical="center"/>
    </xf>
    <xf numFmtId="0" fontId="2" fillId="8" borderId="15" xfId="0" applyFont="1" applyFill="1" applyBorder="1" applyAlignment="1" applyProtection="1">
      <alignment horizontal="center" vertical="center"/>
    </xf>
    <xf numFmtId="0" fontId="2" fillId="8" borderId="11" xfId="0" applyFont="1" applyFill="1" applyBorder="1" applyAlignment="1" applyProtection="1">
      <alignment horizontal="center" vertical="center"/>
    </xf>
    <xf numFmtId="0" fontId="2" fillId="4" borderId="10" xfId="0" applyFont="1" applyFill="1" applyBorder="1" applyAlignment="1" applyProtection="1">
      <alignment horizontal="center" vertical="center"/>
    </xf>
    <xf numFmtId="0" fontId="21" fillId="11" borderId="0" xfId="0" applyFont="1" applyFill="1" applyBorder="1" applyAlignment="1" applyProtection="1">
      <alignment horizontal="center"/>
    </xf>
    <xf numFmtId="0" fontId="17" fillId="11" borderId="0" xfId="0" applyFont="1" applyFill="1" applyAlignment="1" applyProtection="1">
      <alignment horizontal="center" vertical="center"/>
    </xf>
    <xf numFmtId="0" fontId="3" fillId="7" borderId="7" xfId="0" applyFont="1" applyFill="1" applyBorder="1" applyAlignment="1" applyProtection="1">
      <alignment horizontal="center"/>
    </xf>
    <xf numFmtId="0" fontId="11" fillId="7" borderId="12" xfId="0" applyFont="1" applyFill="1" applyBorder="1" applyAlignment="1" applyProtection="1">
      <alignment horizontal="center"/>
    </xf>
    <xf numFmtId="0" fontId="11" fillId="7" borderId="2" xfId="0" applyFont="1" applyFill="1" applyBorder="1" applyAlignment="1" applyProtection="1">
      <alignment horizontal="center"/>
    </xf>
    <xf numFmtId="0" fontId="11" fillId="3" borderId="7" xfId="0" applyFont="1" applyFill="1" applyBorder="1" applyAlignment="1" applyProtection="1">
      <alignment horizontal="center"/>
    </xf>
    <xf numFmtId="0" fontId="11" fillId="3" borderId="2" xfId="0" applyFont="1" applyFill="1" applyBorder="1" applyAlignment="1" applyProtection="1">
      <alignment horizontal="center"/>
    </xf>
    <xf numFmtId="0" fontId="11" fillId="5" borderId="13" xfId="0" applyFont="1" applyFill="1" applyBorder="1" applyAlignment="1" applyProtection="1">
      <alignment horizontal="center" vertical="center"/>
    </xf>
    <xf numFmtId="0" fontId="11" fillId="5" borderId="14" xfId="0" applyFont="1" applyFill="1" applyBorder="1" applyAlignment="1" applyProtection="1">
      <alignment horizontal="center" vertical="center"/>
    </xf>
    <xf numFmtId="0" fontId="11" fillId="5" borderId="9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/>
    </xf>
    <xf numFmtId="0" fontId="2" fillId="5" borderId="12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>
      <alignment horizontal="center"/>
    </xf>
    <xf numFmtId="0" fontId="3" fillId="5" borderId="12" xfId="0" applyFont="1" applyFill="1" applyBorder="1" applyAlignment="1" applyProtection="1">
      <alignment horizontal="center"/>
    </xf>
    <xf numFmtId="0" fontId="3" fillId="5" borderId="2" xfId="0" applyFont="1" applyFill="1" applyBorder="1" applyAlignment="1" applyProtection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Normal" xfId="0" builtinId="0"/>
    <cellStyle name="Normal_Sheet1" xfId="7"/>
  </cellStyles>
  <dxfs count="0"/>
  <tableStyles count="0" defaultTableStyle="TableStyleMedium9" defaultPivotStyle="PivotStyleLight16"/>
  <colors>
    <mruColors>
      <color rgb="FFFFC000"/>
      <color rgb="FFFF6600"/>
      <color rgb="FF01FFBC"/>
      <color rgb="FF00008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9487595062961"/>
          <c:y val="6.0147570769822425E-2"/>
          <c:w val="0.834250208053262"/>
          <c:h val="0.77514260489824005"/>
        </c:manualLayout>
      </c:layout>
      <c:scatterChart>
        <c:scatterStyle val="smoothMarker"/>
        <c:varyColors val="0"/>
        <c:ser>
          <c:idx val="0"/>
          <c:order val="0"/>
          <c:tx>
            <c:v>FSS Envelope</c:v>
          </c:tx>
          <c:spPr>
            <a:ln w="31750">
              <a:solidFill>
                <a:schemeClr val="tx1"/>
              </a:solidFill>
            </a:ln>
          </c:spPr>
          <c:marker>
            <c:symbol val="diamond"/>
            <c:size val="12"/>
            <c:spPr>
              <a:solidFill>
                <a:srgbClr val="00FF00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'Input-Output Metric'!$K$4:$O$4</c:f>
              <c:numCache>
                <c:formatCode>0</c:formatCode>
                <c:ptCount val="5"/>
                <c:pt idx="0">
                  <c:v>0</c:v>
                </c:pt>
                <c:pt idx="1">
                  <c:v>12</c:v>
                </c:pt>
                <c:pt idx="2">
                  <c:v>50</c:v>
                </c:pt>
                <c:pt idx="3">
                  <c:v>100</c:v>
                </c:pt>
                <c:pt idx="4">
                  <c:v>400</c:v>
                </c:pt>
              </c:numCache>
            </c:numRef>
          </c:xVal>
          <c:yVal>
            <c:numRef>
              <c:f>'Input-Output Metric'!$K$6:$O$6</c:f>
              <c:numCache>
                <c:formatCode>0.0</c:formatCode>
                <c:ptCount val="5"/>
                <c:pt idx="0" formatCode="0.00">
                  <c:v>0</c:v>
                </c:pt>
                <c:pt idx="1">
                  <c:v>7.9916295863883366</c:v>
                </c:pt>
                <c:pt idx="2">
                  <c:v>32.389174475409455</c:v>
                </c:pt>
                <c:pt idx="3">
                  <c:v>62.585021689477912</c:v>
                </c:pt>
                <c:pt idx="4">
                  <c:v>243.04988792588512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08-4697-B57E-6D9E023FCA90}"/>
            </c:ext>
          </c:extLst>
        </c:ser>
        <c:ser>
          <c:idx val="1"/>
          <c:order val="1"/>
          <c:tx>
            <c:v>Residual Strength Envelope</c:v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0000CC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('Input-Output Metric'!$K$4,'Input-Output Metric'!$M$4:$P$4)</c:f>
              <c:numCache>
                <c:formatCode>0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400</c:v>
                </c:pt>
                <c:pt idx="4">
                  <c:v>700</c:v>
                </c:pt>
              </c:numCache>
            </c:numRef>
          </c:xVal>
          <c:yVal>
            <c:numRef>
              <c:f>('Input-Output Metric'!$K$5,'Input-Output Metric'!$M$5:$P$5)</c:f>
              <c:numCache>
                <c:formatCode>0.0</c:formatCode>
                <c:ptCount val="5"/>
                <c:pt idx="0" formatCode="0.00">
                  <c:v>0</c:v>
                </c:pt>
                <c:pt idx="1">
                  <c:v>30.756235649590014</c:v>
                </c:pt>
                <c:pt idx="2">
                  <c:v>60.259364904887406</c:v>
                </c:pt>
                <c:pt idx="3">
                  <c:v>232.5626230297126</c:v>
                </c:pt>
                <c:pt idx="4">
                  <c:v>395.95547054055459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08-4697-B57E-6D9E023FCA90}"/>
            </c:ext>
          </c:extLst>
        </c:ser>
        <c:ser>
          <c:idx val="2"/>
          <c:order val="2"/>
          <c:tx>
            <c:v>FSS Power Function</c:v>
          </c:tx>
          <c:spPr>
            <a:ln w="31750">
              <a:solidFill>
                <a:srgbClr val="0000CC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'Input-Output Metric'!$B$84:$B$94</c:f>
              <c:numCache>
                <c:formatCode>General</c:formatCode>
                <c:ptCount val="11"/>
                <c:pt idx="0">
                  <c:v>0</c:v>
                </c:pt>
                <c:pt idx="1">
                  <c:v>15</c:v>
                </c:pt>
                <c:pt idx="2">
                  <c:v>25</c:v>
                </c:pt>
                <c:pt idx="3">
                  <c:v>75</c:v>
                </c:pt>
                <c:pt idx="4">
                  <c:v>150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</c:numCache>
            </c:numRef>
          </c:xVal>
          <c:yVal>
            <c:numRef>
              <c:f>'Input-Output Metric'!$C$84:$C$94</c:f>
              <c:numCache>
                <c:formatCode>General</c:formatCode>
                <c:ptCount val="11"/>
                <c:pt idx="0">
                  <c:v>0</c:v>
                </c:pt>
                <c:pt idx="1">
                  <c:v>10.09676805577346</c:v>
                </c:pt>
                <c:pt idx="2">
                  <c:v>16.487590004388643</c:v>
                </c:pt>
                <c:pt idx="3">
                  <c:v>47.336220999165299</c:v>
                </c:pt>
                <c:pt idx="4">
                  <c:v>92.083619093278898</c:v>
                </c:pt>
                <c:pt idx="5">
                  <c:v>121.37341368483649</c:v>
                </c:pt>
                <c:pt idx="6">
                  <c:v>179.13117537341222</c:v>
                </c:pt>
                <c:pt idx="7">
                  <c:v>236.10890260974841</c:v>
                </c:pt>
                <c:pt idx="8">
                  <c:v>292.51354099119328</c:v>
                </c:pt>
                <c:pt idx="9">
                  <c:v>348.46564792545428</c:v>
                </c:pt>
                <c:pt idx="10">
                  <c:v>404.04421164713057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08-4697-B57E-6D9E023FCA90}"/>
            </c:ext>
          </c:extLst>
        </c:ser>
        <c:ser>
          <c:idx val="3"/>
          <c:order val="3"/>
          <c:tx>
            <c:v>Residual Power Function</c:v>
          </c:tx>
          <c:spPr>
            <a:ln w="31750">
              <a:solidFill>
                <a:srgbClr val="00B050"/>
              </a:solidFill>
            </a:ln>
          </c:spPr>
          <c:marker>
            <c:symbol val="triangle"/>
            <c:size val="1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'Input-Output Metric'!$L$45:$L$55</c:f>
              <c:numCache>
                <c:formatCode>General</c:formatCode>
                <c:ptCount val="11"/>
                <c:pt idx="0">
                  <c:v>0</c:v>
                </c:pt>
                <c:pt idx="1">
                  <c:v>15</c:v>
                </c:pt>
                <c:pt idx="2">
                  <c:v>25</c:v>
                </c:pt>
                <c:pt idx="3">
                  <c:v>75</c:v>
                </c:pt>
                <c:pt idx="4">
                  <c:v>150</c:v>
                </c:pt>
                <c:pt idx="5">
                  <c:v>200</c:v>
                </c:pt>
                <c:pt idx="6">
                  <c:v>300</c:v>
                </c:pt>
                <c:pt idx="7">
                  <c:v>400</c:v>
                </c:pt>
                <c:pt idx="8">
                  <c:v>500</c:v>
                </c:pt>
                <c:pt idx="9">
                  <c:v>600</c:v>
                </c:pt>
                <c:pt idx="10">
                  <c:v>700</c:v>
                </c:pt>
              </c:numCache>
            </c:numRef>
          </c:xVal>
          <c:yVal>
            <c:numRef>
              <c:f>'Input-Output Metric'!$N$45:$N$55</c:f>
              <c:numCache>
                <c:formatCode>0.0</c:formatCode>
                <c:ptCount val="11"/>
                <c:pt idx="0" formatCode="0">
                  <c:v>0</c:v>
                </c:pt>
                <c:pt idx="1">
                  <c:v>9.3078740854932729</c:v>
                </c:pt>
                <c:pt idx="2">
                  <c:v>15.31705300981913</c:v>
                </c:pt>
                <c:pt idx="3">
                  <c:v>44.711181967371786</c:v>
                </c:pt>
                <c:pt idx="4">
                  <c:v>87.892233259908096</c:v>
                </c:pt>
                <c:pt idx="5">
                  <c:v>116.3531811768441</c:v>
                </c:pt>
                <c:pt idx="6">
                  <c:v>172.77657014416408</c:v>
                </c:pt>
                <c:pt idx="7">
                  <c:v>228.72445975573635</c:v>
                </c:pt>
                <c:pt idx="8">
                  <c:v>284.32140996379269</c:v>
                </c:pt>
                <c:pt idx="9">
                  <c:v>339.6402854221032</c:v>
                </c:pt>
                <c:pt idx="10">
                  <c:v>394.72897943580114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08-4697-B57E-6D9E023FC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995216"/>
        <c:axId val="1747979984"/>
      </c:scatterChart>
      <c:valAx>
        <c:axId val="17479952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Effective</a:t>
                </a:r>
                <a:r>
                  <a:rPr lang="en-US" sz="1400" baseline="0"/>
                  <a:t> Normal Stress, </a:t>
                </a:r>
                <a:r>
                  <a:rPr lang="el-GR" sz="1400"/>
                  <a:t>σ'</a:t>
                </a:r>
                <a:r>
                  <a:rPr lang="el-GR" sz="1400" baseline="-25000"/>
                  <a:t>n</a:t>
                </a:r>
                <a:r>
                  <a:rPr lang="en-US" sz="1400" baseline="-25000"/>
                  <a:t>  </a:t>
                </a:r>
                <a:r>
                  <a:rPr lang="en-US" sz="1400"/>
                  <a:t>(kPa)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47979984"/>
        <c:crosses val="autoZero"/>
        <c:crossBetween val="midCat"/>
        <c:majorUnit val="100"/>
        <c:minorUnit val="50"/>
      </c:valAx>
      <c:valAx>
        <c:axId val="1747979984"/>
        <c:scaling>
          <c:orientation val="minMax"/>
          <c:max val="5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Shear Stress, </a:t>
                </a:r>
                <a:r>
                  <a:rPr lang="el-GR" sz="1400"/>
                  <a:t>τ</a:t>
                </a:r>
                <a:r>
                  <a:rPr lang="en-US" sz="1400"/>
                  <a:t> </a:t>
                </a:r>
                <a:r>
                  <a:rPr lang="el-GR" sz="1400"/>
                  <a:t> </a:t>
                </a:r>
                <a:r>
                  <a:rPr lang="en-US" sz="1400"/>
                  <a:t>(kPa)</a:t>
                </a:r>
              </a:p>
            </c:rich>
          </c:tx>
          <c:layout>
            <c:manualLayout>
              <c:xMode val="edge"/>
              <c:yMode val="edge"/>
              <c:x val="1.0505697173609999E-2"/>
              <c:y val="0.3342049509998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747995216"/>
        <c:crosses val="autoZero"/>
        <c:crossBetween val="midCat"/>
        <c:majorUnit val="100"/>
        <c:minorUnit val="5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594062699204651"/>
          <c:y val="7.3483516299530635E-2"/>
          <c:w val="0.32071125040386689"/>
          <c:h val="0.2784926601709060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0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0000000000002" l="0.70000000000000095" r="0.70000000000000095" t="0.750000000000002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CF&lt;20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548818897637795E-2"/>
                  <c:y val="-0.1164209682123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07-4828-B907-4C3EDEE243E4}"/>
            </c:ext>
          </c:extLst>
        </c:ser>
        <c:ser>
          <c:idx val="1"/>
          <c:order val="1"/>
          <c:tx>
            <c:v>20&lt;CF&lt;45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07-4828-B907-4C3EDEE243E4}"/>
            </c:ext>
          </c:extLst>
        </c:ser>
        <c:ser>
          <c:idx val="2"/>
          <c:order val="2"/>
          <c:tx>
            <c:v>CF&gt;50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1599300087489061E-2"/>
                  <c:y val="8.86071011956838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607-4828-B907-4C3EDEE243E4}"/>
            </c:ext>
          </c:extLst>
        </c:ser>
        <c:ser>
          <c:idx val="3"/>
          <c:order val="3"/>
          <c:tx>
            <c:v>CF&lt;20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382720954192223"/>
                  <c:y val="-7.84094285716341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'Input-Output Metric'!$B$66:$B$76</c:f>
            </c:numRef>
          </c:xVal>
          <c:yVal>
            <c:numRef>
              <c:f>'Input-Output Metric'!$C$66:$C$70</c:f>
            </c:numRef>
          </c:yVal>
          <c:smooth val="1"/>
          <c:extLst>
            <c:ext xmlns:c16="http://schemas.microsoft.com/office/drawing/2014/chart" uri="{C3380CC4-5D6E-409C-BE32-E72D297353CC}">
              <c16:uniqueId val="{00000007-A607-4828-B907-4C3EDEE243E4}"/>
            </c:ext>
          </c:extLst>
        </c:ser>
        <c:ser>
          <c:idx val="4"/>
          <c:order val="4"/>
          <c:tx>
            <c:v>20&lt;CF&lt;45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-0.11463821576038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'Input-Output Metric'!$B$66:$B$76</c:f>
            </c:numRef>
          </c:xVal>
          <c:yVal>
            <c:numRef>
              <c:f>'Input-Output Metric'!$E$66:$E$76</c:f>
            </c:numRef>
          </c:yVal>
          <c:smooth val="1"/>
          <c:extLst>
            <c:ext xmlns:c16="http://schemas.microsoft.com/office/drawing/2014/chart" uri="{C3380CC4-5D6E-409C-BE32-E72D297353CC}">
              <c16:uniqueId val="{00000009-A607-4828-B907-4C3EDEE243E4}"/>
            </c:ext>
          </c:extLst>
        </c:ser>
        <c:ser>
          <c:idx val="5"/>
          <c:order val="5"/>
          <c:tx>
            <c:v>CF&gt;50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6.25122760365291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'Input-Output Metric'!$B$66:$B$76</c:f>
            </c:numRef>
          </c:xVal>
          <c:yVal>
            <c:numRef>
              <c:f>'Input-Output Metric'!$G$66:$G$76</c:f>
            </c:numRef>
          </c:yVal>
          <c:smooth val="1"/>
          <c:extLst>
            <c:ext xmlns:c16="http://schemas.microsoft.com/office/drawing/2014/chart" uri="{C3380CC4-5D6E-409C-BE32-E72D297353CC}">
              <c16:uniqueId val="{0000000B-A607-4828-B907-4C3EDEE24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984880"/>
        <c:axId val="1747991408"/>
      </c:scatterChart>
      <c:valAx>
        <c:axId val="174798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91408"/>
        <c:crosses val="autoZero"/>
        <c:crossBetween val="midCat"/>
      </c:valAx>
      <c:valAx>
        <c:axId val="174799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84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CF≤20 - a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1847605418828108"/>
                  <c:y val="-7.59766540245617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0.54369999999999996</c:v>
              </c:pt>
              <c:pt idx="1">
                <c:v>0.49070000000000003</c:v>
              </c:pt>
              <c:pt idx="2">
                <c:v>0.44409999999999999</c:v>
              </c:pt>
              <c:pt idx="3">
                <c:v>0.40229999999999999</c:v>
              </c:pt>
              <c:pt idx="4">
                <c:v>0.38250000000000001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9F05-4E5E-8A2E-40B020F12FAE}"/>
            </c:ext>
          </c:extLst>
        </c:ser>
        <c:ser>
          <c:idx val="2"/>
          <c:order val="2"/>
          <c:tx>
            <c:v>20 ≤ CF ≤ 45 - 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3160005468163066"/>
                  <c:y val="-0.103158259695903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0.4657</c:v>
              </c:pt>
              <c:pt idx="1">
                <c:v>0.4199</c:v>
              </c:pt>
              <c:pt idx="2">
                <c:v>0.374</c:v>
              </c:pt>
              <c:pt idx="3">
                <c:v>0.32829999999999998</c:v>
              </c:pt>
              <c:pt idx="4">
                <c:v>0.30620000000000003</c:v>
              </c:pt>
              <c:pt idx="5">
                <c:v>0.28549999999999998</c:v>
              </c:pt>
              <c:pt idx="6">
                <c:v>0.24779999999999999</c:v>
              </c:pt>
              <c:pt idx="7">
                <c:v>0.2155</c:v>
              </c:pt>
              <c:pt idx="8">
                <c:v>0.1913</c:v>
              </c:pt>
              <c:pt idx="9">
                <c:v>0.1769</c:v>
              </c:pt>
              <c:pt idx="10">
                <c:v>0.1734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9F05-4E5E-8A2E-40B020F12FAE}"/>
            </c:ext>
          </c:extLst>
        </c:ser>
        <c:ser>
          <c:idx val="4"/>
          <c:order val="4"/>
          <c:tx>
            <c:v>CF ≥ 50 - 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7177252357633908"/>
                  <c:y val="-1.66221650726400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0.37519999999999998</c:v>
              </c:pt>
              <c:pt idx="1">
                <c:v>0.32700000000000001</c:v>
              </c:pt>
              <c:pt idx="2">
                <c:v>0.28349999999999997</c:v>
              </c:pt>
              <c:pt idx="3">
                <c:v>0.2455</c:v>
              </c:pt>
              <c:pt idx="4">
                <c:v>0.22819999999999999</c:v>
              </c:pt>
              <c:pt idx="5">
                <c:v>0.2132</c:v>
              </c:pt>
              <c:pt idx="6">
                <c:v>0.18659999999999999</c:v>
              </c:pt>
              <c:pt idx="7">
                <c:v>0.16619999999999999</c:v>
              </c:pt>
              <c:pt idx="8">
                <c:v>0.15390000000000001</c:v>
              </c:pt>
              <c:pt idx="9">
                <c:v>0.14699999999999999</c:v>
              </c:pt>
              <c:pt idx="10">
                <c:v>0.14399999999999999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5-9F05-4E5E-8A2E-40B020F12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992496"/>
        <c:axId val="1747994672"/>
      </c:scatterChart>
      <c:scatterChart>
        <c:scatterStyle val="smoothMarker"/>
        <c:varyColors val="0"/>
        <c:ser>
          <c:idx val="1"/>
          <c:order val="1"/>
          <c:tx>
            <c:v>CF ≤ 20 - b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23533996921536751"/>
                  <c:y val="-9.829599913188749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0.95940000000000003</c:v>
              </c:pt>
              <c:pt idx="1">
                <c:v>0.95189999999999997</c:v>
              </c:pt>
              <c:pt idx="2">
                <c:v>0.94640000000000002</c:v>
              </c:pt>
              <c:pt idx="3">
                <c:v>0.9446</c:v>
              </c:pt>
              <c:pt idx="4">
                <c:v>0.94599999999999995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7-9F05-4E5E-8A2E-40B020F12FAE}"/>
            </c:ext>
          </c:extLst>
        </c:ser>
        <c:ser>
          <c:idx val="3"/>
          <c:order val="3"/>
          <c:tx>
            <c:v>20 ≤ CF ≤ 45 - b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0945596419720142"/>
                  <c:y val="9.908613004605852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0.87060000000000004</c:v>
              </c:pt>
              <c:pt idx="1">
                <c:v>0.85899999999999999</c:v>
              </c:pt>
              <c:pt idx="2">
                <c:v>0.84770000000000001</c:v>
              </c:pt>
              <c:pt idx="3">
                <c:v>0.83950000000000002</c:v>
              </c:pt>
              <c:pt idx="4">
                <c:v>0.83730000000000004</c:v>
              </c:pt>
              <c:pt idx="5">
                <c:v>0.83499999999999996</c:v>
              </c:pt>
              <c:pt idx="6">
                <c:v>0.83189999999999997</c:v>
              </c:pt>
              <c:pt idx="7">
                <c:v>0.83760000000000001</c:v>
              </c:pt>
              <c:pt idx="8">
                <c:v>0.84970000000000001</c:v>
              </c:pt>
              <c:pt idx="9">
                <c:v>0.87019999999999997</c:v>
              </c:pt>
              <c:pt idx="10">
                <c:v>0.89670000000000005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9-9F05-4E5E-8A2E-40B020F12FAE}"/>
            </c:ext>
          </c:extLst>
        </c:ser>
        <c:ser>
          <c:idx val="5"/>
          <c:order val="5"/>
          <c:tx>
            <c:v>CF ≥ 50 - b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209947953566667E-3"/>
                  <c:y val="6.28945905870320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0.87890000000000001</c:v>
              </c:pt>
              <c:pt idx="1">
                <c:v>0.8609</c:v>
              </c:pt>
              <c:pt idx="2">
                <c:v>0.84040000000000004</c:v>
              </c:pt>
              <c:pt idx="3">
                <c:v>0.81669999999999998</c:v>
              </c:pt>
              <c:pt idx="4">
                <c:v>0.80569999999999997</c:v>
              </c:pt>
              <c:pt idx="5">
                <c:v>0.79210000000000003</c:v>
              </c:pt>
              <c:pt idx="6">
                <c:v>0.77249999999999996</c:v>
              </c:pt>
              <c:pt idx="7">
                <c:v>0.76500000000000001</c:v>
              </c:pt>
              <c:pt idx="8">
                <c:v>0.77300000000000002</c:v>
              </c:pt>
              <c:pt idx="9">
                <c:v>0.79559999999999997</c:v>
              </c:pt>
              <c:pt idx="10">
                <c:v>0.80059999999999998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B-9F05-4E5E-8A2E-40B020F12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993584"/>
        <c:axId val="1747985968"/>
      </c:scatterChart>
      <c:valAx>
        <c:axId val="1747992496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Liquid Limit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94672"/>
        <c:crosses val="autoZero"/>
        <c:crossBetween val="midCat"/>
      </c:valAx>
      <c:valAx>
        <c:axId val="174799467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Function Coefficient (a coefficient)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92496"/>
        <c:crosses val="autoZero"/>
        <c:crossBetween val="midCat"/>
      </c:valAx>
      <c:valAx>
        <c:axId val="1747985968"/>
        <c:scaling>
          <c:orientation val="minMax"/>
          <c:max val="1"/>
          <c:min val="0.30000000000000004"/>
        </c:scaling>
        <c:delete val="1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Power Function Coefficient (b coefficient) 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crossAx val="1747993584"/>
        <c:crosses val="max"/>
        <c:crossBetween val="midCat"/>
        <c:minorUnit val="0.1"/>
      </c:valAx>
      <c:valAx>
        <c:axId val="174799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7985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59487595062961"/>
          <c:y val="6.0147570769822425E-2"/>
          <c:w val="0.834250208053262"/>
          <c:h val="0.77514260489824005"/>
        </c:manualLayout>
      </c:layout>
      <c:scatterChart>
        <c:scatterStyle val="smoothMarker"/>
        <c:varyColors val="0"/>
        <c:ser>
          <c:idx val="0"/>
          <c:order val="0"/>
          <c:tx>
            <c:v>FSS Envelope</c:v>
          </c:tx>
          <c:spPr>
            <a:ln w="31750">
              <a:solidFill>
                <a:schemeClr val="tx1"/>
              </a:solidFill>
            </a:ln>
          </c:spPr>
          <c:marker>
            <c:symbol val="diamond"/>
            <c:size val="12"/>
            <c:spPr>
              <a:solidFill>
                <a:srgbClr val="00FF00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'Input-Output English'!$K$4:$O$4</c:f>
              <c:numCache>
                <c:formatCode>0</c:formatCode>
                <c:ptCount val="5"/>
                <c:pt idx="0">
                  <c:v>0</c:v>
                </c:pt>
                <c:pt idx="1">
                  <c:v>250</c:v>
                </c:pt>
                <c:pt idx="2">
                  <c:v>1044</c:v>
                </c:pt>
                <c:pt idx="3">
                  <c:v>2088</c:v>
                </c:pt>
                <c:pt idx="4">
                  <c:v>8354</c:v>
                </c:pt>
              </c:numCache>
            </c:numRef>
          </c:xVal>
          <c:yVal>
            <c:numRef>
              <c:f>'Input-Output English'!$K$6:$O$6</c:f>
              <c:numCache>
                <c:formatCode>0.0</c:formatCode>
                <c:ptCount val="5"/>
                <c:pt idx="0" formatCode="0.00">
                  <c:v>0</c:v>
                </c:pt>
                <c:pt idx="1">
                  <c:v>147.38099944079923</c:v>
                </c:pt>
                <c:pt idx="2">
                  <c:v>525.46620361268083</c:v>
                </c:pt>
                <c:pt idx="3">
                  <c:v>898.81512434183878</c:v>
                </c:pt>
                <c:pt idx="4">
                  <c:v>3000.017942077146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D79-42C7-B475-9152127257D9}"/>
            </c:ext>
          </c:extLst>
        </c:ser>
        <c:ser>
          <c:idx val="1"/>
          <c:order val="1"/>
          <c:tx>
            <c:v>Residual Strength Envelope</c:v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0000CC"/>
              </a:solidFill>
              <a:ln w="12700">
                <a:solidFill>
                  <a:schemeClr val="tx1"/>
                </a:solidFill>
              </a:ln>
            </c:spPr>
          </c:marker>
          <c:xVal>
            <c:numRef>
              <c:f>('Input-Output English'!$K$4,'Input-Output English'!$M$4:$P$4)</c:f>
              <c:numCache>
                <c:formatCode>0</c:formatCode>
                <c:ptCount val="5"/>
                <c:pt idx="0">
                  <c:v>0</c:v>
                </c:pt>
                <c:pt idx="1">
                  <c:v>1044</c:v>
                </c:pt>
                <c:pt idx="2">
                  <c:v>2088</c:v>
                </c:pt>
                <c:pt idx="3">
                  <c:v>8354</c:v>
                </c:pt>
                <c:pt idx="4">
                  <c:v>14620</c:v>
                </c:pt>
              </c:numCache>
            </c:numRef>
          </c:xVal>
          <c:yVal>
            <c:numRef>
              <c:f>('Input-Output English'!$K$5,'Input-Output English'!$M$5:$P$5)</c:f>
              <c:numCache>
                <c:formatCode>0.0</c:formatCode>
                <c:ptCount val="5"/>
                <c:pt idx="0" formatCode="0.00">
                  <c:v>0</c:v>
                </c:pt>
                <c:pt idx="1">
                  <c:v>284.04379899575383</c:v>
                </c:pt>
                <c:pt idx="2">
                  <c:v>515.63853988885592</c:v>
                </c:pt>
                <c:pt idx="3">
                  <c:v>1790.6197182391365</c:v>
                </c:pt>
                <c:pt idx="4">
                  <c:v>2296.7077612273665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D79-42C7-B475-9152127257D9}"/>
            </c:ext>
          </c:extLst>
        </c:ser>
        <c:ser>
          <c:idx val="2"/>
          <c:order val="2"/>
          <c:tx>
            <c:v>FSS Power Function</c:v>
          </c:tx>
          <c:spPr>
            <a:ln w="31750">
              <a:solidFill>
                <a:srgbClr val="0000CC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'Input-Output English'!$D$83:$D$93</c:f>
              <c:numCache>
                <c:formatCode>General</c:formatCode>
                <c:ptCount val="11"/>
                <c:pt idx="0">
                  <c:v>0</c:v>
                </c:pt>
                <c:pt idx="1">
                  <c:v>313.28151409500003</c:v>
                </c:pt>
                <c:pt idx="2">
                  <c:v>522.13585682500002</c:v>
                </c:pt>
                <c:pt idx="3">
                  <c:v>1566.4075704750001</c:v>
                </c:pt>
                <c:pt idx="4">
                  <c:v>3132.8151409500001</c:v>
                </c:pt>
                <c:pt idx="5">
                  <c:v>4177.0868546000002</c:v>
                </c:pt>
                <c:pt idx="6">
                  <c:v>6265.6302819000002</c:v>
                </c:pt>
                <c:pt idx="7">
                  <c:v>8354.1737092000003</c:v>
                </c:pt>
                <c:pt idx="8">
                  <c:v>10442.717136500001</c:v>
                </c:pt>
                <c:pt idx="9">
                  <c:v>12531.2605638</c:v>
                </c:pt>
                <c:pt idx="10">
                  <c:v>14619.803991100001</c:v>
                </c:pt>
              </c:numCache>
            </c:numRef>
          </c:xVal>
          <c:yVal>
            <c:numRef>
              <c:f>'Input-Output English'!$E$83:$E$93</c:f>
              <c:numCache>
                <c:formatCode>General</c:formatCode>
                <c:ptCount val="11"/>
                <c:pt idx="0">
                  <c:v>0</c:v>
                </c:pt>
                <c:pt idx="1">
                  <c:v>183.96310492208303</c:v>
                </c:pt>
                <c:pt idx="2">
                  <c:v>284.27971124698348</c:v>
                </c:pt>
                <c:pt idx="3">
                  <c:v>724.85839763302181</c:v>
                </c:pt>
                <c:pt idx="4">
                  <c:v>1308.370462342107</c:v>
                </c:pt>
                <c:pt idx="5">
                  <c:v>1671.7777258705928</c:v>
                </c:pt>
                <c:pt idx="6">
                  <c:v>2361.6105881082149</c:v>
                </c:pt>
                <c:pt idx="7">
                  <c:v>3017.5612275073941</c:v>
                </c:pt>
                <c:pt idx="8">
                  <c:v>3649.4164215676483</c:v>
                </c:pt>
                <c:pt idx="9">
                  <c:v>4262.7105475012813</c:v>
                </c:pt>
                <c:pt idx="10">
                  <c:v>4860.9875453924169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D79-42C7-B475-9152127257D9}"/>
            </c:ext>
          </c:extLst>
        </c:ser>
        <c:ser>
          <c:idx val="3"/>
          <c:order val="3"/>
          <c:tx>
            <c:v>Residual Power Function</c:v>
          </c:tx>
          <c:spPr>
            <a:ln w="31750">
              <a:solidFill>
                <a:srgbClr val="00B050"/>
              </a:solidFill>
            </a:ln>
          </c:spPr>
          <c:marker>
            <c:symbol val="triangle"/>
            <c:size val="1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'Input-Output English'!$L$45:$L$55</c:f>
              <c:numCache>
                <c:formatCode>0</c:formatCode>
                <c:ptCount val="11"/>
                <c:pt idx="0">
                  <c:v>0</c:v>
                </c:pt>
                <c:pt idx="1">
                  <c:v>313.28151409500003</c:v>
                </c:pt>
                <c:pt idx="2">
                  <c:v>522.13585682500002</c:v>
                </c:pt>
                <c:pt idx="3">
                  <c:v>1566.4075704750001</c:v>
                </c:pt>
                <c:pt idx="4">
                  <c:v>3132.8151409500001</c:v>
                </c:pt>
                <c:pt idx="5">
                  <c:v>4177.0868546000002</c:v>
                </c:pt>
                <c:pt idx="6">
                  <c:v>6265.6302819000002</c:v>
                </c:pt>
                <c:pt idx="7">
                  <c:v>8354.1737092000003</c:v>
                </c:pt>
                <c:pt idx="8">
                  <c:v>10442.717136500001</c:v>
                </c:pt>
                <c:pt idx="9">
                  <c:v>12531.2605638</c:v>
                </c:pt>
                <c:pt idx="10">
                  <c:v>14619.803991100001</c:v>
                </c:pt>
              </c:numCache>
            </c:numRef>
          </c:xVal>
          <c:yVal>
            <c:numRef>
              <c:f>'Input-Output English'!$N$45:$N$55</c:f>
              <c:numCache>
                <c:formatCode>0</c:formatCode>
                <c:ptCount val="11"/>
                <c:pt idx="0">
                  <c:v>0</c:v>
                </c:pt>
                <c:pt idx="1">
                  <c:v>108.86100908623624</c:v>
                </c:pt>
                <c:pt idx="2">
                  <c:v>164.92244280466562</c:v>
                </c:pt>
                <c:pt idx="3">
                  <c:v>402.97190018689071</c:v>
                </c:pt>
                <c:pt idx="4">
                  <c:v>708.06374160986343</c:v>
                </c:pt>
                <c:pt idx="5">
                  <c:v>894.68990330292672</c:v>
                </c:pt>
                <c:pt idx="6">
                  <c:v>1244.1419909180786</c:v>
                </c:pt>
                <c:pt idx="7">
                  <c:v>1572.0636605664895</c:v>
                </c:pt>
                <c:pt idx="8">
                  <c:v>1884.8524192489069</c:v>
                </c:pt>
                <c:pt idx="9">
                  <c:v>2186.0874983462618</c:v>
                </c:pt>
                <c:pt idx="10">
                  <c:v>2478.0420403024987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D79-42C7-B475-91521272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988688"/>
        <c:axId val="1747982704"/>
      </c:scatterChart>
      <c:valAx>
        <c:axId val="1747988688"/>
        <c:scaling>
          <c:orientation val="minMax"/>
          <c:max val="16000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Effective</a:t>
                </a:r>
                <a:r>
                  <a:rPr lang="en-US" sz="1400" baseline="0"/>
                  <a:t> Normal Stress, </a:t>
                </a:r>
                <a:r>
                  <a:rPr lang="el-GR" sz="1400"/>
                  <a:t>σ'</a:t>
                </a:r>
                <a:r>
                  <a:rPr lang="el-GR" sz="1400" baseline="-25000"/>
                  <a:t>n</a:t>
                </a:r>
                <a:r>
                  <a:rPr lang="en-US" sz="1400" baseline="-25000"/>
                  <a:t>  </a:t>
                </a:r>
                <a:r>
                  <a:rPr lang="en-US" sz="1400"/>
                  <a:t>(psf)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47982704"/>
        <c:crosses val="autoZero"/>
        <c:crossBetween val="midCat"/>
        <c:majorUnit val="4000"/>
        <c:minorUnit val="1000"/>
      </c:valAx>
      <c:valAx>
        <c:axId val="1747982704"/>
        <c:scaling>
          <c:orientation val="minMax"/>
          <c:max val="10000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Shear Stress, </a:t>
                </a:r>
                <a:r>
                  <a:rPr lang="el-GR" sz="1400"/>
                  <a:t>τ</a:t>
                </a:r>
                <a:r>
                  <a:rPr lang="en-US" sz="1400"/>
                  <a:t> </a:t>
                </a:r>
                <a:r>
                  <a:rPr lang="el-GR" sz="1400"/>
                  <a:t> </a:t>
                </a:r>
                <a:r>
                  <a:rPr lang="en-US" sz="1400"/>
                  <a:t>(psf)</a:t>
                </a:r>
              </a:p>
            </c:rich>
          </c:tx>
          <c:layout>
            <c:manualLayout>
              <c:xMode val="edge"/>
              <c:yMode val="edge"/>
              <c:x val="1.0505697173609999E-2"/>
              <c:y val="0.33420495099983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in"/>
        <c:minorTickMark val="in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200" b="1"/>
            </a:pPr>
            <a:endParaRPr lang="en-US"/>
          </a:p>
        </c:txPr>
        <c:crossAx val="1747988688"/>
        <c:crosses val="autoZero"/>
        <c:crossBetween val="midCat"/>
        <c:majorUnit val="2000"/>
        <c:minorUnit val="5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3594062699204651"/>
          <c:y val="7.3483516299530635E-2"/>
          <c:w val="0.32071125040386689"/>
          <c:h val="0.2784926601709060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0"/>
    <c:dispBlanksAs val="gap"/>
    <c:showDLblsOverMax val="0"/>
  </c:chart>
  <c:spPr>
    <a:ln w="19050">
      <a:solidFill>
        <a:sysClr val="windowText" lastClr="000000"/>
      </a:solidFill>
    </a:ln>
  </c:spPr>
  <c:printSettings>
    <c:headerFooter/>
    <c:pageMargins b="0.750000000000002" l="0.70000000000000095" r="0.70000000000000095" t="0.750000000000002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CF&lt;20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4.548818897637795E-2"/>
                  <c:y val="-0.116420968212306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87-4103-ADA4-EA275443CED0}"/>
            </c:ext>
          </c:extLst>
        </c:ser>
        <c:ser>
          <c:idx val="1"/>
          <c:order val="1"/>
          <c:tx>
            <c:v>20&lt;CF&lt;45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C87-4103-ADA4-EA275443CED0}"/>
            </c:ext>
          </c:extLst>
        </c:ser>
        <c:ser>
          <c:idx val="2"/>
          <c:order val="2"/>
          <c:tx>
            <c:v>CF&gt;50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3.1599300087489061E-2"/>
                  <c:y val="8.860710119568387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C87-4103-ADA4-EA275443CED0}"/>
            </c:ext>
          </c:extLst>
        </c:ser>
        <c:ser>
          <c:idx val="3"/>
          <c:order val="3"/>
          <c:tx>
            <c:v>CF&lt;20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3382720954192223"/>
                  <c:y val="-7.840942857163413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'Input-Output English'!$B$65:$B$75</c:f>
            </c:numRef>
          </c:xVal>
          <c:yVal>
            <c:numRef>
              <c:f>'Input-Output English'!$C$65:$C$69</c:f>
            </c:numRef>
          </c:yVal>
          <c:smooth val="1"/>
          <c:extLst>
            <c:ext xmlns:c16="http://schemas.microsoft.com/office/drawing/2014/chart" uri="{C3380CC4-5D6E-409C-BE32-E72D297353CC}">
              <c16:uniqueId val="{00000007-CC87-4103-ADA4-EA275443CED0}"/>
            </c:ext>
          </c:extLst>
        </c:ser>
        <c:ser>
          <c:idx val="4"/>
          <c:order val="4"/>
          <c:tx>
            <c:v>20&lt;CF&lt;45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-0.11463821576038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'Input-Output English'!$B$65:$B$75</c:f>
            </c:numRef>
          </c:xVal>
          <c:yVal>
            <c:numRef>
              <c:f>'Input-Output English'!$E$65:$E$75</c:f>
            </c:numRef>
          </c:yVal>
          <c:smooth val="1"/>
          <c:extLst>
            <c:ext xmlns:c16="http://schemas.microsoft.com/office/drawing/2014/chart" uri="{C3380CC4-5D6E-409C-BE32-E72D297353CC}">
              <c16:uniqueId val="{00000009-CC87-4103-ADA4-EA275443CED0}"/>
            </c:ext>
          </c:extLst>
        </c:ser>
        <c:ser>
          <c:idx val="5"/>
          <c:order val="5"/>
          <c:tx>
            <c:v>CF&gt;50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2.4875992270563338E-5"/>
                  <c:y val="6.25122760365291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'Input-Output English'!$B$65:$B$75</c:f>
            </c:numRef>
          </c:xVal>
          <c:yVal>
            <c:numRef>
              <c:f>'Input-Output English'!$G$65:$G$75</c:f>
            </c:numRef>
          </c:yVal>
          <c:smooth val="1"/>
          <c:extLst>
            <c:ext xmlns:c16="http://schemas.microsoft.com/office/drawing/2014/chart" uri="{C3380CC4-5D6E-409C-BE32-E72D297353CC}">
              <c16:uniqueId val="{0000000B-CC87-4103-ADA4-EA275443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7990320"/>
        <c:axId val="1747990864"/>
      </c:scatterChart>
      <c:valAx>
        <c:axId val="1747990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90864"/>
        <c:crosses val="autoZero"/>
        <c:crossBetween val="midCat"/>
      </c:valAx>
      <c:valAx>
        <c:axId val="174799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90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CF≤20 - a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1847605418828108"/>
                  <c:y val="-7.59766540245617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0.54369999999999996</c:v>
              </c:pt>
              <c:pt idx="1">
                <c:v>0.49070000000000003</c:v>
              </c:pt>
              <c:pt idx="2">
                <c:v>0.44409999999999999</c:v>
              </c:pt>
              <c:pt idx="3">
                <c:v>0.40229999999999999</c:v>
              </c:pt>
              <c:pt idx="4">
                <c:v>0.38250000000000001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B23C-47FB-B417-88D2032E2650}"/>
            </c:ext>
          </c:extLst>
        </c:ser>
        <c:ser>
          <c:idx val="2"/>
          <c:order val="2"/>
          <c:tx>
            <c:v>20 ≤ CF ≤ 45 - a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3160005468163066"/>
                  <c:y val="-0.103158259695903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0.4657</c:v>
              </c:pt>
              <c:pt idx="1">
                <c:v>0.4199</c:v>
              </c:pt>
              <c:pt idx="2">
                <c:v>0.374</c:v>
              </c:pt>
              <c:pt idx="3">
                <c:v>0.32829999999999998</c:v>
              </c:pt>
              <c:pt idx="4">
                <c:v>0.30620000000000003</c:v>
              </c:pt>
              <c:pt idx="5">
                <c:v>0.28549999999999998</c:v>
              </c:pt>
              <c:pt idx="6">
                <c:v>0.24779999999999999</c:v>
              </c:pt>
              <c:pt idx="7">
                <c:v>0.2155</c:v>
              </c:pt>
              <c:pt idx="8">
                <c:v>0.1913</c:v>
              </c:pt>
              <c:pt idx="9">
                <c:v>0.1769</c:v>
              </c:pt>
              <c:pt idx="10">
                <c:v>0.1734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3-B23C-47FB-B417-88D2032E2650}"/>
            </c:ext>
          </c:extLst>
        </c:ser>
        <c:ser>
          <c:idx val="4"/>
          <c:order val="4"/>
          <c:tx>
            <c:v>CF ≥ 50 - 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27177252357633908"/>
                  <c:y val="-1.6622165072640001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0.37519999999999998</c:v>
              </c:pt>
              <c:pt idx="1">
                <c:v>0.32700000000000001</c:v>
              </c:pt>
              <c:pt idx="2">
                <c:v>0.28349999999999997</c:v>
              </c:pt>
              <c:pt idx="3">
                <c:v>0.2455</c:v>
              </c:pt>
              <c:pt idx="4">
                <c:v>0.22819999999999999</c:v>
              </c:pt>
              <c:pt idx="5">
                <c:v>0.2132</c:v>
              </c:pt>
              <c:pt idx="6">
                <c:v>0.18659999999999999</c:v>
              </c:pt>
              <c:pt idx="7">
                <c:v>0.16619999999999999</c:v>
              </c:pt>
              <c:pt idx="8">
                <c:v>0.15390000000000001</c:v>
              </c:pt>
              <c:pt idx="9">
                <c:v>0.14699999999999999</c:v>
              </c:pt>
              <c:pt idx="10">
                <c:v>0.14399999999999999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5-B23C-47FB-B417-88D2032E2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544624"/>
        <c:axId val="1744541360"/>
      </c:scatterChart>
      <c:scatterChart>
        <c:scatterStyle val="smoothMarker"/>
        <c:varyColors val="0"/>
        <c:ser>
          <c:idx val="1"/>
          <c:order val="1"/>
          <c:tx>
            <c:v>CF ≤ 20 - b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23533996921536751"/>
                  <c:y val="-9.829599913188749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5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</c:numLit>
          </c:xVal>
          <c:yVal>
            <c:numLit>
              <c:formatCode>General</c:formatCode>
              <c:ptCount val="5"/>
              <c:pt idx="0">
                <c:v>0.95940000000000003</c:v>
              </c:pt>
              <c:pt idx="1">
                <c:v>0.95189999999999997</c:v>
              </c:pt>
              <c:pt idx="2">
                <c:v>0.94640000000000002</c:v>
              </c:pt>
              <c:pt idx="3">
                <c:v>0.9446</c:v>
              </c:pt>
              <c:pt idx="4">
                <c:v>0.94599999999999995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7-B23C-47FB-B417-88D2032E2650}"/>
            </c:ext>
          </c:extLst>
        </c:ser>
        <c:ser>
          <c:idx val="3"/>
          <c:order val="3"/>
          <c:tx>
            <c:v>20 ≤ CF ≤ 45 - b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0945596419720142"/>
                  <c:y val="9.908613004605852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0.87060000000000004</c:v>
              </c:pt>
              <c:pt idx="1">
                <c:v>0.85899999999999999</c:v>
              </c:pt>
              <c:pt idx="2">
                <c:v>0.84770000000000001</c:v>
              </c:pt>
              <c:pt idx="3">
                <c:v>0.83950000000000002</c:v>
              </c:pt>
              <c:pt idx="4">
                <c:v>0.83730000000000004</c:v>
              </c:pt>
              <c:pt idx="5">
                <c:v>0.83499999999999996</c:v>
              </c:pt>
              <c:pt idx="6">
                <c:v>0.83189999999999997</c:v>
              </c:pt>
              <c:pt idx="7">
                <c:v>0.83760000000000001</c:v>
              </c:pt>
              <c:pt idx="8">
                <c:v>0.84970000000000001</c:v>
              </c:pt>
              <c:pt idx="9">
                <c:v>0.87019999999999997</c:v>
              </c:pt>
              <c:pt idx="10">
                <c:v>0.89670000000000005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9-B23C-47FB-B417-88D2032E2650}"/>
            </c:ext>
          </c:extLst>
        </c:ser>
        <c:ser>
          <c:idx val="5"/>
          <c:order val="5"/>
          <c:tx>
            <c:v>CF ≥ 50 - b</c:v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star"/>
            <c:size val="6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209947953566667E-3"/>
                  <c:y val="6.28945905870320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1"/>
              <c:pt idx="0">
                <c:v>40</c:v>
              </c:pt>
              <c:pt idx="1">
                <c:v>50</c:v>
              </c:pt>
              <c:pt idx="2">
                <c:v>60</c:v>
              </c:pt>
              <c:pt idx="3">
                <c:v>70</c:v>
              </c:pt>
              <c:pt idx="4">
                <c:v>75</c:v>
              </c:pt>
              <c:pt idx="5">
                <c:v>80</c:v>
              </c:pt>
              <c:pt idx="6">
                <c:v>90</c:v>
              </c:pt>
              <c:pt idx="7">
                <c:v>100</c:v>
              </c:pt>
              <c:pt idx="8">
                <c:v>110</c:v>
              </c:pt>
              <c:pt idx="9">
                <c:v>120</c:v>
              </c:pt>
              <c:pt idx="10">
                <c:v>130</c:v>
              </c:pt>
            </c:numLit>
          </c:xVal>
          <c:yVal>
            <c:numLit>
              <c:formatCode>General</c:formatCode>
              <c:ptCount val="11"/>
              <c:pt idx="0">
                <c:v>0.87890000000000001</c:v>
              </c:pt>
              <c:pt idx="1">
                <c:v>0.8609</c:v>
              </c:pt>
              <c:pt idx="2">
                <c:v>0.84040000000000004</c:v>
              </c:pt>
              <c:pt idx="3">
                <c:v>0.81669999999999998</c:v>
              </c:pt>
              <c:pt idx="4">
                <c:v>0.80569999999999997</c:v>
              </c:pt>
              <c:pt idx="5">
                <c:v>0.79210000000000003</c:v>
              </c:pt>
              <c:pt idx="6">
                <c:v>0.77249999999999996</c:v>
              </c:pt>
              <c:pt idx="7">
                <c:v>0.76500000000000001</c:v>
              </c:pt>
              <c:pt idx="8">
                <c:v>0.77300000000000002</c:v>
              </c:pt>
              <c:pt idx="9">
                <c:v>0.79559999999999997</c:v>
              </c:pt>
              <c:pt idx="10">
                <c:v>0.80059999999999998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B-B23C-47FB-B417-88D2032E2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4543536"/>
        <c:axId val="1744541904"/>
      </c:scatterChart>
      <c:valAx>
        <c:axId val="1744544624"/>
        <c:scaling>
          <c:orientation val="minMax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Liquid Limit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541360"/>
        <c:crosses val="autoZero"/>
        <c:crossBetween val="midCat"/>
      </c:valAx>
      <c:valAx>
        <c:axId val="17445413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Power Function Coefficient (a coefficient)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544624"/>
        <c:crosses val="autoZero"/>
        <c:crossBetween val="midCat"/>
      </c:valAx>
      <c:valAx>
        <c:axId val="1744541904"/>
        <c:scaling>
          <c:orientation val="minMax"/>
          <c:max val="1"/>
          <c:min val="0.30000000000000004"/>
        </c:scaling>
        <c:delete val="1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Power Function Coefficient (b coefficient) </a:t>
                </a:r>
                <a:endParaRPr lang="en-US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crossAx val="1744543536"/>
        <c:crosses val="max"/>
        <c:crossBetween val="midCat"/>
        <c:minorUnit val="0.1"/>
      </c:valAx>
      <c:valAx>
        <c:axId val="174454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44541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35</xdr:row>
      <xdr:rowOff>19049</xdr:rowOff>
    </xdr:from>
    <xdr:to>
      <xdr:col>10</xdr:col>
      <xdr:colOff>556260</xdr:colOff>
      <xdr:row>53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64</xdr:row>
      <xdr:rowOff>0</xdr:rowOff>
    </xdr:from>
    <xdr:to>
      <xdr:col>15</xdr:col>
      <xdr:colOff>295275</xdr:colOff>
      <xdr:row>78</xdr:row>
      <xdr:rowOff>165100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568785</xdr:colOff>
      <xdr:row>39</xdr:row>
      <xdr:rowOff>238125</xdr:rowOff>
    </xdr:from>
    <xdr:to>
      <xdr:col>7</xdr:col>
      <xdr:colOff>42294</xdr:colOff>
      <xdr:row>41</xdr:row>
      <xdr:rowOff>91805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18485" y="2644775"/>
          <a:ext cx="184709" cy="348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 i="0"/>
        </a:p>
      </xdr:txBody>
    </xdr:sp>
    <xdr:clientData/>
  </xdr:twoCellAnchor>
  <xdr:twoCellAnchor>
    <xdr:from>
      <xdr:col>11</xdr:col>
      <xdr:colOff>533398</xdr:colOff>
      <xdr:row>96</xdr:row>
      <xdr:rowOff>87086</xdr:rowOff>
    </xdr:from>
    <xdr:to>
      <xdr:col>22</xdr:col>
      <xdr:colOff>195943</xdr:colOff>
      <xdr:row>122</xdr:row>
      <xdr:rowOff>141514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54429</xdr:colOff>
      <xdr:row>97</xdr:row>
      <xdr:rowOff>119744</xdr:rowOff>
    </xdr:from>
    <xdr:to>
      <xdr:col>13</xdr:col>
      <xdr:colOff>457200</xdr:colOff>
      <xdr:row>99</xdr:row>
      <xdr:rowOff>76201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988879" y="13994494"/>
          <a:ext cx="402771" cy="375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(b)</a:t>
          </a:r>
        </a:p>
      </xdr:txBody>
    </xdr:sp>
    <xdr:clientData/>
  </xdr:twoCellAnchor>
  <xdr:twoCellAnchor>
    <xdr:from>
      <xdr:col>13</xdr:col>
      <xdr:colOff>141514</xdr:colOff>
      <xdr:row>110</xdr:row>
      <xdr:rowOff>1</xdr:rowOff>
    </xdr:from>
    <xdr:to>
      <xdr:col>13</xdr:col>
      <xdr:colOff>544285</xdr:colOff>
      <xdr:row>111</xdr:row>
      <xdr:rowOff>141515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075964" y="16319501"/>
          <a:ext cx="402771" cy="325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(a)</a:t>
          </a:r>
        </a:p>
      </xdr:txBody>
    </xdr:sp>
    <xdr:clientData/>
  </xdr:twoCellAnchor>
  <xdr:twoCellAnchor>
    <xdr:from>
      <xdr:col>11</xdr:col>
      <xdr:colOff>48</xdr:colOff>
      <xdr:row>39</xdr:row>
      <xdr:rowOff>49472</xdr:rowOff>
    </xdr:from>
    <xdr:to>
      <xdr:col>16</xdr:col>
      <xdr:colOff>130570</xdr:colOff>
      <xdr:row>43</xdr:row>
      <xdr:rowOff>146520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931198" y="2633922"/>
          <a:ext cx="3743672" cy="897148"/>
          <a:chOff x="14545568" y="7848331"/>
          <a:chExt cx="3666341" cy="675491"/>
        </a:xfrm>
      </xdr:grpSpPr>
      <xdr:sp macro="" textlink="">
        <xdr:nvSpPr>
          <xdr:cNvPr id="9" name="TextBox 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4545568" y="7887256"/>
            <a:ext cx="3594438" cy="479485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n-US" sz="1100">
              <a:ln w="9525">
                <a:solidFill>
                  <a:schemeClr val="tx1"/>
                </a:solidFill>
              </a:ln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7497617" y="7893304"/>
            <a:ext cx="268639" cy="6305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3600"/>
              <a:t>)</a:t>
            </a:r>
          </a:p>
        </xdr:txBody>
      </xdr:sp>
      <xdr:sp macro="" textlink="$C$132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15002402" y="8033584"/>
            <a:ext cx="592477" cy="2373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ECB5670E-9B69-4F4C-ACAB-06B18207FAD5}" type="TxLink">
              <a:rPr lang="en-US" sz="1400" b="0" i="0" u="none" strike="noStrike">
                <a:solidFill>
                  <a:srgbClr val="000000"/>
                </a:solidFill>
                <a:latin typeface="Calibri"/>
                <a:cs typeface="Arial" panose="020B0604020202020204" pitchFamily="34" charset="0"/>
              </a:rPr>
              <a:pPr/>
              <a:t>0.5917</a:t>
            </a:fld>
            <a:endParaRPr lang="en-US" sz="1800">
              <a:latin typeface="+mn-lt"/>
              <a:cs typeface="Arial" panose="020B0604020202020204" pitchFamily="34" charset="0"/>
            </a:endParaRPr>
          </a:p>
        </xdr:txBody>
      </xdr:sp>
      <xdr:sp macro="" textlink="$F$79">
        <xdr:nvSpPr>
          <xdr:cNvPr id="12" name="TextBox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15647030" y="8028605"/>
            <a:ext cx="624481" cy="2305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3B3F443A-C315-4004-8A94-A12EC1FC054B}" type="TxLink">
              <a:rPr lang="en-US" sz="1400" b="0" i="0" u="none" strike="noStrike">
                <a:solidFill>
                  <a:srgbClr val="000000"/>
                </a:solidFill>
                <a:latin typeface="+mn-lt"/>
                <a:cs typeface="Arial"/>
              </a:rPr>
              <a:pPr/>
              <a:t>101.325</a:t>
            </a:fld>
            <a:endParaRPr lang="en-US" sz="1800">
              <a:latin typeface="+mn-lt"/>
            </a:endParaRPr>
          </a:p>
        </xdr:txBody>
      </xdr:sp>
      <xdr:sp macro="" textlink="$F$79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6751292" y="8136807"/>
            <a:ext cx="658305" cy="24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3B3F443A-C315-4004-8A94-A12EC1FC054B}" type="TxLink">
              <a:rPr lang="en-US" sz="1400" b="0" i="0" u="none" strike="noStrike">
                <a:solidFill>
                  <a:srgbClr val="000000"/>
                </a:solidFill>
                <a:latin typeface="+mn-lt"/>
                <a:cs typeface="Arial"/>
              </a:rPr>
              <a:pPr/>
              <a:t>101.325</a:t>
            </a:fld>
            <a:endParaRPr lang="en-US" sz="1400">
              <a:latin typeface="+mn-lt"/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16768657" y="7987172"/>
            <a:ext cx="1080407" cy="2617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/>
              <a:t>________</a:t>
            </a:r>
          </a:p>
        </xdr:txBody>
      </xdr:sp>
      <xdr:sp macro="" textlink="$C$133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17581861" y="7848331"/>
            <a:ext cx="630048" cy="2683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93D0F3A2-33C3-43D7-BF02-4AB340C21B9D}" type="TxLink">
              <a:rPr lang="en-US" sz="1400" b="0" i="0" u="none" strike="noStrike">
                <a:solidFill>
                  <a:srgbClr val="000000"/>
                </a:solidFill>
                <a:latin typeface="Calibri"/>
                <a:cs typeface="Arial"/>
              </a:rPr>
              <a:pPr/>
              <a:t>0.9751</a:t>
            </a:fld>
            <a:endParaRPr lang="en-US" sz="18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14611128" y="7983815"/>
            <a:ext cx="513665" cy="3715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2000"/>
              <a:t>τ</a:t>
            </a:r>
            <a:r>
              <a:rPr lang="en-US" sz="600" b="1"/>
              <a:t>R     </a:t>
            </a:r>
            <a:r>
              <a:rPr lang="en-US" sz="1200" b="1"/>
              <a:t>=</a:t>
            </a:r>
            <a:endParaRPr lang="en-US" sz="600" b="1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16822062" y="7935736"/>
            <a:ext cx="835265" cy="2870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400">
                <a:latin typeface="+mn-lt"/>
              </a:rPr>
              <a:t>σ(</a:t>
            </a:r>
            <a:r>
              <a:rPr lang="en-US" sz="1400">
                <a:latin typeface="+mn-lt"/>
              </a:rPr>
              <a:t>kPa)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16558873" y="7896850"/>
            <a:ext cx="243382" cy="5243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3600"/>
              <a:t>(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15480473" y="8050611"/>
            <a:ext cx="174504" cy="421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i="0"/>
              <a:t>*</a:t>
            </a:r>
          </a:p>
        </xdr:txBody>
      </xdr:sp>
    </xdr:grpSp>
    <xdr:clientData/>
  </xdr:twoCellAnchor>
  <xdr:twoCellAnchor>
    <xdr:from>
      <xdr:col>13</xdr:col>
      <xdr:colOff>690254</xdr:colOff>
      <xdr:row>41</xdr:row>
      <xdr:rowOff>11073</xdr:rowOff>
    </xdr:from>
    <xdr:to>
      <xdr:col>14</xdr:col>
      <xdr:colOff>58308</xdr:colOff>
      <xdr:row>42</xdr:row>
      <xdr:rowOff>178838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853304" y="2913023"/>
          <a:ext cx="174504" cy="3646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/>
            <a:t>*</a:t>
          </a:r>
        </a:p>
      </xdr:txBody>
    </xdr:sp>
    <xdr:clientData/>
  </xdr:twoCellAnchor>
  <xdr:twoCellAnchor>
    <xdr:from>
      <xdr:col>11</xdr:col>
      <xdr:colOff>18324</xdr:colOff>
      <xdr:row>36</xdr:row>
      <xdr:rowOff>75311</xdr:rowOff>
    </xdr:from>
    <xdr:to>
      <xdr:col>16</xdr:col>
      <xdr:colOff>50800</xdr:colOff>
      <xdr:row>39</xdr:row>
      <xdr:rowOff>6350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949474" y="1935861"/>
          <a:ext cx="3645626" cy="654939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 sz="1100">
            <a:ln w="952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11</xdr:col>
      <xdr:colOff>30480</xdr:colOff>
      <xdr:row>36</xdr:row>
      <xdr:rowOff>168021</xdr:rowOff>
    </xdr:from>
    <xdr:to>
      <xdr:col>12</xdr:col>
      <xdr:colOff>7620</xdr:colOff>
      <xdr:row>38</xdr:row>
      <xdr:rowOff>197165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961630" y="2028571"/>
          <a:ext cx="593090" cy="511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2000"/>
            <a:t>τ</a:t>
          </a:r>
          <a:r>
            <a:rPr lang="en-US" sz="600" b="1"/>
            <a:t>FSS   </a:t>
          </a:r>
          <a:r>
            <a:rPr lang="en-US" sz="1200" b="1"/>
            <a:t>=</a:t>
          </a:r>
          <a:endParaRPr lang="en-US" sz="600" b="1"/>
        </a:p>
      </xdr:txBody>
    </xdr:sp>
    <xdr:clientData/>
  </xdr:twoCellAnchor>
  <xdr:twoCellAnchor>
    <xdr:from>
      <xdr:col>13</xdr:col>
      <xdr:colOff>695334</xdr:colOff>
      <xdr:row>37</xdr:row>
      <xdr:rowOff>22503</xdr:rowOff>
    </xdr:from>
    <xdr:to>
      <xdr:col>14</xdr:col>
      <xdr:colOff>63388</xdr:colOff>
      <xdr:row>38</xdr:row>
      <xdr:rowOff>202968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858384" y="2124353"/>
          <a:ext cx="174504" cy="421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/>
            <a:t>*</a:t>
          </a:r>
        </a:p>
      </xdr:txBody>
    </xdr:sp>
    <xdr:clientData/>
  </xdr:twoCellAnchor>
  <xdr:twoCellAnchor>
    <xdr:from>
      <xdr:col>11</xdr:col>
      <xdr:colOff>441234</xdr:colOff>
      <xdr:row>37</xdr:row>
      <xdr:rowOff>19794</xdr:rowOff>
    </xdr:from>
    <xdr:to>
      <xdr:col>12</xdr:col>
      <xdr:colOff>428842</xdr:colOff>
      <xdr:row>38</xdr:row>
      <xdr:rowOff>105421</xdr:rowOff>
    </xdr:to>
    <xdr:sp macro="" textlink="$C$79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372384" y="2121644"/>
          <a:ext cx="603558" cy="326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F511E6E-2A34-4AE4-A253-9FACFD059736}" type="TxLink">
            <a:rPr lang="en-US" sz="1400" b="0" i="0" u="none" strike="noStrike">
              <a:solidFill>
                <a:srgbClr val="000000"/>
              </a:solidFill>
              <a:latin typeface="Calibri"/>
              <a:cs typeface="Arial" panose="020B0604020202020204" pitchFamily="34" charset="0"/>
            </a:rPr>
            <a:pPr/>
            <a:t>0.6236</a:t>
          </a:fld>
          <a:endParaRPr lang="en-US" sz="1800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444087</xdr:colOff>
      <xdr:row>37</xdr:row>
      <xdr:rowOff>11943</xdr:rowOff>
    </xdr:from>
    <xdr:to>
      <xdr:col>13</xdr:col>
      <xdr:colOff>510540</xdr:colOff>
      <xdr:row>38</xdr:row>
      <xdr:rowOff>88149</xdr:rowOff>
    </xdr:to>
    <xdr:sp macro="" textlink="$F$79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8991187" y="2113793"/>
          <a:ext cx="682403" cy="317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3F443A-C315-4004-8A94-A12EC1FC054B}" type="TxLink">
            <a:rPr lang="en-US" sz="1400" b="0" i="0" u="none" strike="noStrike">
              <a:solidFill>
                <a:srgbClr val="000000"/>
              </a:solidFill>
              <a:latin typeface="+mn-lt"/>
              <a:cs typeface="Arial"/>
            </a:rPr>
            <a:pPr/>
            <a:t>101.325</a:t>
          </a:fld>
          <a:endParaRPr lang="en-US" sz="1800">
            <a:latin typeface="+mn-lt"/>
          </a:endParaRPr>
        </a:p>
      </xdr:txBody>
    </xdr:sp>
    <xdr:clientData/>
  </xdr:twoCellAnchor>
  <xdr:twoCellAnchor>
    <xdr:from>
      <xdr:col>14</xdr:col>
      <xdr:colOff>223369</xdr:colOff>
      <xdr:row>37</xdr:row>
      <xdr:rowOff>121043</xdr:rowOff>
    </xdr:from>
    <xdr:to>
      <xdr:col>15</xdr:col>
      <xdr:colOff>149860</xdr:colOff>
      <xdr:row>38</xdr:row>
      <xdr:rowOff>214985</xdr:rowOff>
    </xdr:to>
    <xdr:sp macro="" textlink="$F$79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192869" y="2222893"/>
          <a:ext cx="663091" cy="3352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B3F443A-C315-4004-8A94-A12EC1FC054B}" type="TxLink">
            <a:rPr lang="en-US" sz="1400" b="0" i="0" u="none" strike="noStrike">
              <a:solidFill>
                <a:srgbClr val="000000"/>
              </a:solidFill>
              <a:latin typeface="+mn-lt"/>
              <a:cs typeface="Arial"/>
            </a:rPr>
            <a:pPr/>
            <a:t>101.325</a:t>
          </a:fld>
          <a:endParaRPr lang="en-US" sz="1400">
            <a:latin typeface="+mn-lt"/>
          </a:endParaRPr>
        </a:p>
      </xdr:txBody>
    </xdr:sp>
    <xdr:clientData/>
  </xdr:twoCellAnchor>
  <xdr:twoCellAnchor>
    <xdr:from>
      <xdr:col>15</xdr:col>
      <xdr:colOff>344321</xdr:colOff>
      <xdr:row>36</xdr:row>
      <xdr:rowOff>19431</xdr:rowOff>
    </xdr:from>
    <xdr:to>
      <xdr:col>16</xdr:col>
      <xdr:colOff>163193</xdr:colOff>
      <xdr:row>37</xdr:row>
      <xdr:rowOff>147704</xdr:rowOff>
    </xdr:to>
    <xdr:sp macro="" textlink="$C$80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1050421" y="1879981"/>
          <a:ext cx="657072" cy="369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5FCDC36-E824-4D78-A006-F72158285D57}" type="TxLink">
            <a:rPr lang="en-US" sz="1400" b="0" i="0" u="none" strike="noStrike">
              <a:solidFill>
                <a:srgbClr val="000000"/>
              </a:solidFill>
              <a:latin typeface="Calibri"/>
              <a:cs typeface="Arial"/>
            </a:rPr>
            <a:pPr/>
            <a:t>0.96</a:t>
          </a:fld>
          <a:endParaRPr lang="en-US" sz="1800"/>
        </a:p>
      </xdr:txBody>
    </xdr:sp>
    <xdr:clientData/>
  </xdr:twoCellAnchor>
  <xdr:twoCellAnchor>
    <xdr:from>
      <xdr:col>14</xdr:col>
      <xdr:colOff>308163</xdr:colOff>
      <xdr:row>36</xdr:row>
      <xdr:rowOff>101112</xdr:rowOff>
    </xdr:from>
    <xdr:to>
      <xdr:col>15</xdr:col>
      <xdr:colOff>422450</xdr:colOff>
      <xdr:row>38</xdr:row>
      <xdr:rowOff>19015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277663" y="1961662"/>
          <a:ext cx="850887" cy="400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400">
              <a:latin typeface="+mn-lt"/>
            </a:rPr>
            <a:t>σ(</a:t>
          </a:r>
          <a:r>
            <a:rPr lang="en-US" sz="1400">
              <a:latin typeface="+mn-lt"/>
            </a:rPr>
            <a:t>kPa)</a:t>
          </a:r>
        </a:p>
      </xdr:txBody>
    </xdr:sp>
    <xdr:clientData/>
  </xdr:twoCellAnchor>
  <xdr:twoCellAnchor>
    <xdr:from>
      <xdr:col>13</xdr:col>
      <xdr:colOff>790722</xdr:colOff>
      <xdr:row>36</xdr:row>
      <xdr:rowOff>25482</xdr:rowOff>
    </xdr:from>
    <xdr:to>
      <xdr:col>14</xdr:col>
      <xdr:colOff>218236</xdr:colOff>
      <xdr:row>39</xdr:row>
      <xdr:rowOff>23755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953772" y="1886032"/>
          <a:ext cx="233964" cy="722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/>
            <a:t>(</a:t>
          </a:r>
        </a:p>
      </xdr:txBody>
    </xdr:sp>
    <xdr:clientData/>
  </xdr:twoCellAnchor>
  <xdr:twoCellAnchor>
    <xdr:from>
      <xdr:col>12</xdr:col>
      <xdr:colOff>298559</xdr:colOff>
      <xdr:row>37</xdr:row>
      <xdr:rowOff>35669</xdr:rowOff>
    </xdr:from>
    <xdr:to>
      <xdr:col>12</xdr:col>
      <xdr:colOff>476327</xdr:colOff>
      <xdr:row>40</xdr:row>
      <xdr:rowOff>629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845659" y="2137519"/>
          <a:ext cx="177768" cy="5110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/>
            <a:t>*</a:t>
          </a:r>
        </a:p>
      </xdr:txBody>
    </xdr:sp>
    <xdr:clientData/>
  </xdr:twoCellAnchor>
  <xdr:twoCellAnchor>
    <xdr:from>
      <xdr:col>14</xdr:col>
      <xdr:colOff>181610</xdr:colOff>
      <xdr:row>36</xdr:row>
      <xdr:rowOff>161290</xdr:rowOff>
    </xdr:from>
    <xdr:to>
      <xdr:col>15</xdr:col>
      <xdr:colOff>620554</xdr:colOff>
      <xdr:row>38</xdr:row>
      <xdr:rowOff>39219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151110" y="2021840"/>
          <a:ext cx="1175544" cy="360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________</a:t>
          </a:r>
        </a:p>
      </xdr:txBody>
    </xdr:sp>
    <xdr:clientData/>
  </xdr:twoCellAnchor>
  <xdr:twoCellAnchor>
    <xdr:from>
      <xdr:col>15</xdr:col>
      <xdr:colOff>254000</xdr:colOff>
      <xdr:row>36</xdr:row>
      <xdr:rowOff>29210</xdr:rowOff>
    </xdr:from>
    <xdr:to>
      <xdr:col>15</xdr:col>
      <xdr:colOff>489234</xdr:colOff>
      <xdr:row>39</xdr:row>
      <xdr:rowOff>27483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960100" y="1889760"/>
          <a:ext cx="235234" cy="722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/>
            <a:t>)</a:t>
          </a:r>
        </a:p>
      </xdr:txBody>
    </xdr:sp>
    <xdr:clientData/>
  </xdr:twoCellAnchor>
  <xdr:twoCellAnchor>
    <xdr:from>
      <xdr:col>14</xdr:col>
      <xdr:colOff>676593</xdr:colOff>
      <xdr:row>41</xdr:row>
      <xdr:rowOff>104082</xdr:rowOff>
    </xdr:from>
    <xdr:to>
      <xdr:col>15</xdr:col>
      <xdr:colOff>492760</xdr:colOff>
      <xdr:row>43</xdr:row>
      <xdr:rowOff>6420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646093" y="3006032"/>
          <a:ext cx="552767" cy="384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kPa</a:t>
          </a:r>
        </a:p>
      </xdr:txBody>
    </xdr:sp>
    <xdr:clientData/>
  </xdr:twoCellAnchor>
  <xdr:twoCellAnchor>
    <xdr:from>
      <xdr:col>13</xdr:col>
      <xdr:colOff>354013</xdr:colOff>
      <xdr:row>40</xdr:row>
      <xdr:rowOff>226002</xdr:rowOff>
    </xdr:from>
    <xdr:to>
      <xdr:col>14</xdr:col>
      <xdr:colOff>398268</xdr:colOff>
      <xdr:row>42</xdr:row>
      <xdr:rowOff>156280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9517063" y="2873952"/>
          <a:ext cx="850705" cy="381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kPa</a:t>
          </a:r>
        </a:p>
      </xdr:txBody>
    </xdr:sp>
    <xdr:clientData/>
  </xdr:twoCellAnchor>
  <xdr:twoCellAnchor>
    <xdr:from>
      <xdr:col>14</xdr:col>
      <xdr:colOff>698183</xdr:colOff>
      <xdr:row>37</xdr:row>
      <xdr:rowOff>124402</xdr:rowOff>
    </xdr:from>
    <xdr:to>
      <xdr:col>15</xdr:col>
      <xdr:colOff>813558</xdr:colOff>
      <xdr:row>39</xdr:row>
      <xdr:rowOff>26740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667683" y="2226252"/>
          <a:ext cx="851975" cy="384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kPa</a:t>
          </a:r>
        </a:p>
      </xdr:txBody>
    </xdr:sp>
    <xdr:clientData/>
  </xdr:twoCellAnchor>
  <xdr:twoCellAnchor>
    <xdr:from>
      <xdr:col>13</xdr:col>
      <xdr:colOff>364173</xdr:colOff>
      <xdr:row>37</xdr:row>
      <xdr:rowOff>5022</xdr:rowOff>
    </xdr:from>
    <xdr:to>
      <xdr:col>14</xdr:col>
      <xdr:colOff>408428</xdr:colOff>
      <xdr:row>38</xdr:row>
      <xdr:rowOff>143580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527223" y="2106872"/>
          <a:ext cx="850705" cy="3798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kPa</a:t>
          </a:r>
        </a:p>
      </xdr:txBody>
    </xdr:sp>
    <xdr:clientData/>
  </xdr:twoCellAnchor>
  <xdr:twoCellAnchor>
    <xdr:from>
      <xdr:col>11</xdr:col>
      <xdr:colOff>285751</xdr:colOff>
      <xdr:row>55</xdr:row>
      <xdr:rowOff>50801</xdr:rowOff>
    </xdr:from>
    <xdr:to>
      <xdr:col>15</xdr:col>
      <xdr:colOff>31751</xdr:colOff>
      <xdr:row>57</xdr:row>
      <xdr:rowOff>25400</xdr:rowOff>
    </xdr:to>
    <xdr:pic>
      <xdr:nvPicPr>
        <xdr:cNvPr id="38" name="Picture 37" descr="UILo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216901" y="6508751"/>
          <a:ext cx="2520950" cy="603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0.16239</cdr:x>
      <cdr:y>0.03356</cdr:y>
    </cdr:from>
    <cdr:to>
      <cdr:x>0.19487</cdr:x>
      <cdr:y>0.20134</cdr:y>
    </cdr:to>
    <cdr:sp macro="" textlink="">
      <cdr:nvSpPr>
        <cdr:cNvPr id="2" name="Left Brace 1"/>
        <cdr:cNvSpPr/>
      </cdr:nvSpPr>
      <cdr:spPr>
        <a:xfrm xmlns:a="http://schemas.openxmlformats.org/drawingml/2006/main">
          <a:off x="1034145" y="163285"/>
          <a:ext cx="206829" cy="81642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0.18725</cdr:x>
      <cdr:y>0.3128</cdr:y>
    </cdr:from>
    <cdr:to>
      <cdr:x>0.21175</cdr:x>
      <cdr:y>0.68267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1393047" y="1549951"/>
          <a:ext cx="182266" cy="1832756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35</xdr:row>
      <xdr:rowOff>19049</xdr:rowOff>
    </xdr:from>
    <xdr:to>
      <xdr:col>10</xdr:col>
      <xdr:colOff>541020</xdr:colOff>
      <xdr:row>53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63</xdr:row>
      <xdr:rowOff>0</xdr:rowOff>
    </xdr:from>
    <xdr:to>
      <xdr:col>15</xdr:col>
      <xdr:colOff>295275</xdr:colOff>
      <xdr:row>77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568785</xdr:colOff>
      <xdr:row>39</xdr:row>
      <xdr:rowOff>238125</xdr:rowOff>
    </xdr:from>
    <xdr:to>
      <xdr:col>7</xdr:col>
      <xdr:colOff>42294</xdr:colOff>
      <xdr:row>41</xdr:row>
      <xdr:rowOff>91805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432125" y="2097405"/>
          <a:ext cx="174549" cy="356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 i="0"/>
        </a:p>
      </xdr:txBody>
    </xdr:sp>
    <xdr:clientData/>
  </xdr:twoCellAnchor>
  <xdr:twoCellAnchor>
    <xdr:from>
      <xdr:col>11</xdr:col>
      <xdr:colOff>533398</xdr:colOff>
      <xdr:row>95</xdr:row>
      <xdr:rowOff>87086</xdr:rowOff>
    </xdr:from>
    <xdr:to>
      <xdr:col>22</xdr:col>
      <xdr:colOff>195943</xdr:colOff>
      <xdr:row>121</xdr:row>
      <xdr:rowOff>141514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54429</xdr:colOff>
      <xdr:row>96</xdr:row>
      <xdr:rowOff>119744</xdr:rowOff>
    </xdr:from>
    <xdr:to>
      <xdr:col>13</xdr:col>
      <xdr:colOff>457200</xdr:colOff>
      <xdr:row>98</xdr:row>
      <xdr:rowOff>76201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9808029" y="19455494"/>
          <a:ext cx="402771" cy="3247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(b)</a:t>
          </a:r>
        </a:p>
      </xdr:txBody>
    </xdr:sp>
    <xdr:clientData/>
  </xdr:twoCellAnchor>
  <xdr:twoCellAnchor>
    <xdr:from>
      <xdr:col>13</xdr:col>
      <xdr:colOff>141514</xdr:colOff>
      <xdr:row>109</xdr:row>
      <xdr:rowOff>1</xdr:rowOff>
    </xdr:from>
    <xdr:to>
      <xdr:col>13</xdr:col>
      <xdr:colOff>544285</xdr:colOff>
      <xdr:row>110</xdr:row>
      <xdr:rowOff>141515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895114" y="21729701"/>
          <a:ext cx="402771" cy="3256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(a)</a:t>
          </a:r>
        </a:p>
      </xdr:txBody>
    </xdr:sp>
    <xdr:clientData/>
  </xdr:twoCellAnchor>
  <xdr:twoCellAnchor>
    <xdr:from>
      <xdr:col>10</xdr:col>
      <xdr:colOff>605146</xdr:colOff>
      <xdr:row>39</xdr:row>
      <xdr:rowOff>44721</xdr:rowOff>
    </xdr:from>
    <xdr:to>
      <xdr:col>16</xdr:col>
      <xdr:colOff>215901</xdr:colOff>
      <xdr:row>43</xdr:row>
      <xdr:rowOff>146524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7661810" y="2589257"/>
          <a:ext cx="3671127" cy="877410"/>
          <a:chOff x="14698589" y="7839973"/>
          <a:chExt cx="3463224" cy="683851"/>
        </a:xfrm>
      </xdr:grpSpPr>
      <xdr:sp macro="" textlink="">
        <xdr:nvSpPr>
          <xdr:cNvPr id="34" name="TextBox 1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SpPr txBox="1"/>
        </xdr:nvSpPr>
        <xdr:spPr>
          <a:xfrm>
            <a:off x="14698589" y="7887256"/>
            <a:ext cx="3405952" cy="479485"/>
          </a:xfrm>
          <a:prstGeom prst="rect">
            <a:avLst/>
          </a:prstGeom>
          <a:solidFill>
            <a:schemeClr val="bg1"/>
          </a:solidFill>
          <a:ln w="19050">
            <a:solidFill>
              <a:schemeClr val="tx1"/>
            </a:solidFill>
          </a:ln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endParaRPr lang="en-US" sz="1100">
              <a:ln w="9525">
                <a:solidFill>
                  <a:schemeClr val="tx1"/>
                </a:solidFill>
              </a:ln>
            </a:endParaRP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17594102" y="7893306"/>
            <a:ext cx="268639" cy="63051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3600"/>
              <a:t>)</a:t>
            </a:r>
          </a:p>
        </xdr:txBody>
      </xdr:sp>
      <xdr:sp macro="" textlink="$C$131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15259220" y="8031554"/>
            <a:ext cx="592477" cy="2373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ECB5670E-9B69-4F4C-ACAB-06B18207FAD5}" type="TxLink">
              <a:rPr lang="en-US" sz="1400" b="0" i="0" u="none" strike="noStrike">
                <a:solidFill>
                  <a:srgbClr val="000000"/>
                </a:solidFill>
                <a:latin typeface="Calibri"/>
                <a:cs typeface="Arial" panose="020B0604020202020204" pitchFamily="34" charset="0"/>
              </a:rPr>
              <a:pPr/>
              <a:t>0.2432</a:t>
            </a:fld>
            <a:endParaRPr lang="en-US" sz="1800">
              <a:latin typeface="+mn-lt"/>
              <a:cs typeface="Arial" panose="020B0604020202020204" pitchFamily="34" charset="0"/>
            </a:endParaRPr>
          </a:p>
        </xdr:txBody>
      </xdr:sp>
      <xdr:sp macro="" textlink="$F$79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15839399" y="8029154"/>
            <a:ext cx="670919" cy="2305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AD6266BD-232E-4915-9895-5172042FDCBE}" type="TxLink">
              <a:rPr lang="en-US" sz="1400" b="0" i="0" u="none" strike="noStrike">
                <a:solidFill>
                  <a:srgbClr val="000000"/>
                </a:solidFill>
                <a:latin typeface="Calibri"/>
                <a:cs typeface="Arial"/>
              </a:rPr>
              <a:pPr/>
              <a:t>2115.7</a:t>
            </a:fld>
            <a:endParaRPr lang="en-US" sz="2400">
              <a:latin typeface="+mn-lt"/>
            </a:endParaRPr>
          </a:p>
        </xdr:txBody>
      </xdr:sp>
      <xdr:sp macro="" textlink="$F$79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16858526" y="8139009"/>
            <a:ext cx="708586" cy="24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D177CDF-4A78-4563-AAFB-05EF7404E085}" type="TxLink">
              <a:rPr lang="en-US" sz="1400" b="0" i="0" u="none" strike="noStrike">
                <a:solidFill>
                  <a:srgbClr val="000000"/>
                </a:solidFill>
                <a:latin typeface="Calibri"/>
                <a:cs typeface="Arial"/>
              </a:rPr>
              <a:pPr/>
              <a:t>2115.7</a:t>
            </a:fld>
            <a:endParaRPr lang="en-US" sz="1800">
              <a:latin typeface="+mn-lt"/>
            </a:endParaRP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/>
        </xdr:nvSpPr>
        <xdr:spPr>
          <a:xfrm>
            <a:off x="16852475" y="7980948"/>
            <a:ext cx="1080407" cy="26175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/>
              <a:t>_________</a:t>
            </a:r>
          </a:p>
        </xdr:txBody>
      </xdr:sp>
      <xdr:sp macro="" textlink="$C$132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/>
        </xdr:nvSpPr>
        <xdr:spPr>
          <a:xfrm>
            <a:off x="17620462" y="7839973"/>
            <a:ext cx="541351" cy="2683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93D0F3A2-33C3-43D7-BF02-4AB340C21B9D}" type="TxLink">
              <a:rPr lang="en-US" sz="1400" b="0" i="0" u="none" strike="noStrike">
                <a:solidFill>
                  <a:srgbClr val="000000"/>
                </a:solidFill>
                <a:latin typeface="Calibri"/>
                <a:cs typeface="Arial"/>
              </a:rPr>
              <a:pPr/>
              <a:t>0.8132</a:t>
            </a:fld>
            <a:endParaRPr lang="en-US" sz="180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/>
        </xdr:nvSpPr>
        <xdr:spPr>
          <a:xfrm>
            <a:off x="14894460" y="7966963"/>
            <a:ext cx="513665" cy="37154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2000"/>
              <a:t>τ</a:t>
            </a:r>
            <a:r>
              <a:rPr lang="en-US" sz="600" b="1"/>
              <a:t>R     </a:t>
            </a:r>
            <a:r>
              <a:rPr lang="en-US" sz="1200" b="1"/>
              <a:t>=</a:t>
            </a:r>
            <a:endParaRPr lang="en-US" sz="600" b="1"/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/>
        </xdr:nvSpPr>
        <xdr:spPr>
          <a:xfrm>
            <a:off x="17012890" y="7935442"/>
            <a:ext cx="835265" cy="2870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l-GR" sz="1400">
                <a:latin typeface="+mn-lt"/>
              </a:rPr>
              <a:t>σ(</a:t>
            </a:r>
            <a:r>
              <a:rPr lang="en-US" sz="1400">
                <a:latin typeface="+mn-lt"/>
              </a:rPr>
              <a:t>psf)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 txBox="1"/>
        </xdr:nvSpPr>
        <xdr:spPr>
          <a:xfrm>
            <a:off x="16696359" y="7884406"/>
            <a:ext cx="243382" cy="52432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3600"/>
              <a:t>(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 txBox="1"/>
        </xdr:nvSpPr>
        <xdr:spPr>
          <a:xfrm>
            <a:off x="15700872" y="8062459"/>
            <a:ext cx="174504" cy="4217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 i="0"/>
              <a:t>*</a:t>
            </a:r>
          </a:p>
        </xdr:txBody>
      </xdr:sp>
    </xdr:grpSp>
    <xdr:clientData/>
  </xdr:twoCellAnchor>
  <xdr:twoCellAnchor>
    <xdr:from>
      <xdr:col>14</xdr:col>
      <xdr:colOff>5812</xdr:colOff>
      <xdr:row>41</xdr:row>
      <xdr:rowOff>16372</xdr:rowOff>
    </xdr:from>
    <xdr:to>
      <xdr:col>14</xdr:col>
      <xdr:colOff>180316</xdr:colOff>
      <xdr:row>42</xdr:row>
      <xdr:rowOff>184137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554460" y="8503475"/>
          <a:ext cx="174504" cy="356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/>
            <a:t>*</a:t>
          </a:r>
        </a:p>
      </xdr:txBody>
    </xdr:sp>
    <xdr:clientData/>
  </xdr:twoCellAnchor>
  <xdr:twoCellAnchor>
    <xdr:from>
      <xdr:col>11</xdr:col>
      <xdr:colOff>17928</xdr:colOff>
      <xdr:row>36</xdr:row>
      <xdr:rowOff>75311</xdr:rowOff>
    </xdr:from>
    <xdr:to>
      <xdr:col>16</xdr:col>
      <xdr:colOff>190499</xdr:colOff>
      <xdr:row>39</xdr:row>
      <xdr:rowOff>6350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8050678" y="1935861"/>
          <a:ext cx="3785721" cy="654939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 sz="1100">
            <a:ln w="952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11</xdr:col>
      <xdr:colOff>137911</xdr:colOff>
      <xdr:row>36</xdr:row>
      <xdr:rowOff>145856</xdr:rowOff>
    </xdr:from>
    <xdr:to>
      <xdr:col>12</xdr:col>
      <xdr:colOff>168166</xdr:colOff>
      <xdr:row>38</xdr:row>
      <xdr:rowOff>175000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7684339" y="7608201"/>
          <a:ext cx="634599" cy="502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2000"/>
            <a:t>τ</a:t>
          </a:r>
          <a:r>
            <a:rPr lang="en-US" sz="600" b="1"/>
            <a:t>FSS    </a:t>
          </a:r>
          <a:r>
            <a:rPr lang="en-US" sz="1200" b="1"/>
            <a:t>=</a:t>
          </a:r>
          <a:endParaRPr lang="en-US" sz="600" b="1"/>
        </a:p>
      </xdr:txBody>
    </xdr:sp>
    <xdr:clientData/>
  </xdr:twoCellAnchor>
  <xdr:twoCellAnchor>
    <xdr:from>
      <xdr:col>13</xdr:col>
      <xdr:colOff>752046</xdr:colOff>
      <xdr:row>37</xdr:row>
      <xdr:rowOff>31043</xdr:rowOff>
    </xdr:from>
    <xdr:to>
      <xdr:col>14</xdr:col>
      <xdr:colOff>133019</xdr:colOff>
      <xdr:row>38</xdr:row>
      <xdr:rowOff>211508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9507163" y="7729871"/>
          <a:ext cx="174504" cy="4169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/>
            <a:t>*</a:t>
          </a:r>
        </a:p>
      </xdr:txBody>
    </xdr:sp>
    <xdr:clientData/>
  </xdr:twoCellAnchor>
  <xdr:twoCellAnchor>
    <xdr:from>
      <xdr:col>11</xdr:col>
      <xdr:colOff>583474</xdr:colOff>
      <xdr:row>36</xdr:row>
      <xdr:rowOff>224746</xdr:rowOff>
    </xdr:from>
    <xdr:to>
      <xdr:col>12</xdr:col>
      <xdr:colOff>571082</xdr:colOff>
      <xdr:row>38</xdr:row>
      <xdr:rowOff>73890</xdr:rowOff>
    </xdr:to>
    <xdr:sp macro="" textlink="$C$78">
      <xdr:nvSpPr>
        <xdr:cNvPr id="41" name="TextBox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8129902" y="7687091"/>
          <a:ext cx="591952" cy="3221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F511E6E-2A34-4AE4-A253-9FACFD059736}" type="TxLink">
            <a:rPr lang="en-US" sz="1400" b="0" i="0" u="none" strike="noStrike">
              <a:solidFill>
                <a:srgbClr val="000000"/>
              </a:solidFill>
              <a:latin typeface="Calibri"/>
              <a:cs typeface="Arial" panose="020B0604020202020204" pitchFamily="34" charset="0"/>
            </a:rPr>
            <a:pPr/>
            <a:t>0.4426</a:t>
          </a:fld>
          <a:endParaRPr lang="en-US" sz="1800"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563905</xdr:colOff>
      <xdr:row>36</xdr:row>
      <xdr:rowOff>222149</xdr:rowOff>
    </xdr:from>
    <xdr:to>
      <xdr:col>13</xdr:col>
      <xdr:colOff>659369</xdr:colOff>
      <xdr:row>38</xdr:row>
      <xdr:rowOff>61872</xdr:rowOff>
    </xdr:to>
    <xdr:sp macro="" textlink="$F$79">
      <xdr:nvSpPr>
        <xdr:cNvPr id="42" name="TextBox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714677" y="7684494"/>
          <a:ext cx="699809" cy="312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08E65B8-A567-4522-A1B4-92F8765799CC}" type="TxLink">
            <a:rPr lang="en-US" sz="1400" b="0" i="0" u="none" strike="noStrike">
              <a:solidFill>
                <a:srgbClr val="000000"/>
              </a:solidFill>
              <a:latin typeface="Calibri"/>
              <a:cs typeface="Arial"/>
            </a:rPr>
            <a:pPr/>
            <a:t>2115.7</a:t>
          </a:fld>
          <a:endParaRPr lang="en-US" sz="2400">
            <a:latin typeface="+mn-lt"/>
          </a:endParaRPr>
        </a:p>
      </xdr:txBody>
    </xdr:sp>
    <xdr:clientData/>
  </xdr:twoCellAnchor>
  <xdr:twoCellAnchor>
    <xdr:from>
      <xdr:col>14</xdr:col>
      <xdr:colOff>215151</xdr:colOff>
      <xdr:row>37</xdr:row>
      <xdr:rowOff>113423</xdr:rowOff>
    </xdr:from>
    <xdr:to>
      <xdr:col>15</xdr:col>
      <xdr:colOff>259976</xdr:colOff>
      <xdr:row>38</xdr:row>
      <xdr:rowOff>207365</xdr:rowOff>
    </xdr:to>
    <xdr:sp macro="" textlink="$F$79">
      <xdr:nvSpPr>
        <xdr:cNvPr id="43" name="TextBox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9753598" y="7715494"/>
          <a:ext cx="770966" cy="327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491D513-2849-49F0-AAF1-DCF8FDBE1255}" type="TxLink">
            <a:rPr lang="en-US" sz="1400" b="0" i="0" u="none" strike="noStrike">
              <a:solidFill>
                <a:srgbClr val="000000"/>
              </a:solidFill>
              <a:latin typeface="Calibri"/>
              <a:cs typeface="Arial"/>
            </a:rPr>
            <a:pPr/>
            <a:t>2115.7</a:t>
          </a:fld>
          <a:endParaRPr lang="en-US" sz="1800">
            <a:latin typeface="+mn-lt"/>
          </a:endParaRPr>
        </a:p>
      </xdr:txBody>
    </xdr:sp>
    <xdr:clientData/>
  </xdr:twoCellAnchor>
  <xdr:twoCellAnchor>
    <xdr:from>
      <xdr:col>15</xdr:col>
      <xdr:colOff>427096</xdr:colOff>
      <xdr:row>36</xdr:row>
      <xdr:rowOff>20776</xdr:rowOff>
    </xdr:from>
    <xdr:to>
      <xdr:col>16</xdr:col>
      <xdr:colOff>254000</xdr:colOff>
      <xdr:row>37</xdr:row>
      <xdr:rowOff>149049</xdr:rowOff>
    </xdr:to>
    <xdr:sp macro="" textlink="$C$79">
      <xdr:nvSpPr>
        <xdr:cNvPr id="44" name="TextBox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1234796" y="1881326"/>
          <a:ext cx="665104" cy="369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5FCDC36-E824-4D78-A006-F72158285D57}" type="TxLink">
            <a:rPr lang="en-US" sz="1400" b="0" i="0" u="none" strike="noStrike">
              <a:solidFill>
                <a:srgbClr val="000000"/>
              </a:solidFill>
              <a:latin typeface="Calibri"/>
              <a:cs typeface="Arial"/>
            </a:rPr>
            <a:pPr/>
            <a:t>0.852</a:t>
          </a:fld>
          <a:endParaRPr lang="en-US" sz="1800"/>
        </a:p>
      </xdr:txBody>
    </xdr:sp>
    <xdr:clientData/>
  </xdr:twoCellAnchor>
  <xdr:twoCellAnchor>
    <xdr:from>
      <xdr:col>14</xdr:col>
      <xdr:colOff>404757</xdr:colOff>
      <xdr:row>36</xdr:row>
      <xdr:rowOff>87216</xdr:rowOff>
    </xdr:from>
    <xdr:to>
      <xdr:col>15</xdr:col>
      <xdr:colOff>519044</xdr:colOff>
      <xdr:row>38</xdr:row>
      <xdr:rowOff>8257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9943204" y="7456204"/>
          <a:ext cx="840428" cy="3872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l-GR" sz="1400">
              <a:latin typeface="+mn-lt"/>
            </a:rPr>
            <a:t>σ(</a:t>
          </a:r>
          <a:r>
            <a:rPr lang="en-US" sz="1400">
              <a:latin typeface="+mn-lt"/>
            </a:rPr>
            <a:t>psf)</a:t>
          </a:r>
        </a:p>
      </xdr:txBody>
    </xdr:sp>
    <xdr:clientData/>
  </xdr:twoCellAnchor>
  <xdr:twoCellAnchor>
    <xdr:from>
      <xdr:col>14</xdr:col>
      <xdr:colOff>55467</xdr:colOff>
      <xdr:row>36</xdr:row>
      <xdr:rowOff>30413</xdr:rowOff>
    </xdr:from>
    <xdr:to>
      <xdr:col>14</xdr:col>
      <xdr:colOff>285845</xdr:colOff>
      <xdr:row>39</xdr:row>
      <xdr:rowOff>28686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9593914" y="7399401"/>
          <a:ext cx="230378" cy="697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/>
            <a:t>(</a:t>
          </a:r>
        </a:p>
      </xdr:txBody>
    </xdr:sp>
    <xdr:clientData/>
  </xdr:twoCellAnchor>
  <xdr:twoCellAnchor>
    <xdr:from>
      <xdr:col>12</xdr:col>
      <xdr:colOff>446798</xdr:colOff>
      <xdr:row>37</xdr:row>
      <xdr:rowOff>35669</xdr:rowOff>
    </xdr:from>
    <xdr:to>
      <xdr:col>13</xdr:col>
      <xdr:colOff>8616</xdr:colOff>
      <xdr:row>39</xdr:row>
      <xdr:rowOff>57779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8597570" y="7734497"/>
          <a:ext cx="166163" cy="495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/>
            <a:t>*</a:t>
          </a:r>
        </a:p>
      </xdr:txBody>
    </xdr:sp>
    <xdr:clientData/>
  </xdr:twoCellAnchor>
  <xdr:twoCellAnchor>
    <xdr:from>
      <xdr:col>14</xdr:col>
      <xdr:colOff>161366</xdr:colOff>
      <xdr:row>36</xdr:row>
      <xdr:rowOff>157630</xdr:rowOff>
    </xdr:from>
    <xdr:to>
      <xdr:col>15</xdr:col>
      <xdr:colOff>565347</xdr:colOff>
      <xdr:row>38</xdr:row>
      <xdr:rowOff>35559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 txBox="1"/>
      </xdr:nvSpPr>
      <xdr:spPr>
        <a:xfrm>
          <a:off x="9699813" y="7526618"/>
          <a:ext cx="1130122" cy="3440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__________</a:t>
          </a:r>
        </a:p>
      </xdr:txBody>
    </xdr:sp>
    <xdr:clientData/>
  </xdr:twoCellAnchor>
  <xdr:twoCellAnchor>
    <xdr:from>
      <xdr:col>15</xdr:col>
      <xdr:colOff>339164</xdr:colOff>
      <xdr:row>36</xdr:row>
      <xdr:rowOff>31750</xdr:rowOff>
    </xdr:from>
    <xdr:to>
      <xdr:col>15</xdr:col>
      <xdr:colOff>576639</xdr:colOff>
      <xdr:row>39</xdr:row>
      <xdr:rowOff>30023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/>
      </xdr:nvSpPr>
      <xdr:spPr>
        <a:xfrm>
          <a:off x="10603752" y="1887444"/>
          <a:ext cx="237475" cy="6975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600"/>
            <a:t>)</a:t>
          </a:r>
        </a:p>
      </xdr:txBody>
    </xdr:sp>
    <xdr:clientData/>
  </xdr:twoCellAnchor>
  <xdr:twoCellAnchor>
    <xdr:from>
      <xdr:col>13</xdr:col>
      <xdr:colOff>491288</xdr:colOff>
      <xdr:row>36</xdr:row>
      <xdr:rowOff>215130</xdr:rowOff>
    </xdr:from>
    <xdr:to>
      <xdr:col>14</xdr:col>
      <xdr:colOff>538494</xdr:colOff>
      <xdr:row>38</xdr:row>
      <xdr:rowOff>136172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9246405" y="7677475"/>
          <a:ext cx="840737" cy="394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psf</a:t>
          </a:r>
        </a:p>
      </xdr:txBody>
    </xdr:sp>
    <xdr:clientData/>
  </xdr:twoCellAnchor>
  <xdr:twoCellAnchor>
    <xdr:from>
      <xdr:col>15</xdr:col>
      <xdr:colOff>60364</xdr:colOff>
      <xdr:row>37</xdr:row>
      <xdr:rowOff>99516</xdr:rowOff>
    </xdr:from>
    <xdr:to>
      <xdr:col>16</xdr:col>
      <xdr:colOff>76039</xdr:colOff>
      <xdr:row>39</xdr:row>
      <xdr:rowOff>20558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0334226" y="7798344"/>
          <a:ext cx="840737" cy="394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psf</a:t>
          </a:r>
        </a:p>
      </xdr:txBody>
    </xdr:sp>
    <xdr:clientData/>
  </xdr:twoCellAnchor>
  <xdr:twoCellAnchor>
    <xdr:from>
      <xdr:col>15</xdr:col>
      <xdr:colOff>118171</xdr:colOff>
      <xdr:row>41</xdr:row>
      <xdr:rowOff>99516</xdr:rowOff>
    </xdr:from>
    <xdr:to>
      <xdr:col>16</xdr:col>
      <xdr:colOff>133846</xdr:colOff>
      <xdr:row>43</xdr:row>
      <xdr:rowOff>20557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0392033" y="8586619"/>
          <a:ext cx="840737" cy="394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psf</a:t>
          </a:r>
        </a:p>
      </xdr:txBody>
    </xdr:sp>
    <xdr:clientData/>
  </xdr:twoCellAnchor>
  <xdr:twoCellAnchor>
    <xdr:from>
      <xdr:col>13</xdr:col>
      <xdr:colOff>559605</xdr:colOff>
      <xdr:row>40</xdr:row>
      <xdr:rowOff>220384</xdr:rowOff>
    </xdr:from>
    <xdr:to>
      <xdr:col>14</xdr:col>
      <xdr:colOff>606811</xdr:colOff>
      <xdr:row>42</xdr:row>
      <xdr:rowOff>172956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9314722" y="8455239"/>
          <a:ext cx="840737" cy="394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psf</a:t>
          </a:r>
        </a:p>
      </xdr:txBody>
    </xdr:sp>
    <xdr:clientData/>
  </xdr:twoCellAnchor>
  <xdr:twoCellAnchor>
    <xdr:from>
      <xdr:col>12</xdr:col>
      <xdr:colOff>1</xdr:colOff>
      <xdr:row>55</xdr:row>
      <xdr:rowOff>50799</xdr:rowOff>
    </xdr:from>
    <xdr:to>
      <xdr:col>15</xdr:col>
      <xdr:colOff>222251</xdr:colOff>
      <xdr:row>57</xdr:row>
      <xdr:rowOff>0</xdr:rowOff>
    </xdr:to>
    <xdr:pic>
      <xdr:nvPicPr>
        <xdr:cNvPr id="51" name="Picture 50" descr="UILog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96301" y="6553199"/>
          <a:ext cx="2381250" cy="5207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0.16239</cdr:x>
      <cdr:y>0.03356</cdr:y>
    </cdr:from>
    <cdr:to>
      <cdr:x>0.19487</cdr:x>
      <cdr:y>0.20134</cdr:y>
    </cdr:to>
    <cdr:sp macro="" textlink="">
      <cdr:nvSpPr>
        <cdr:cNvPr id="2" name="Left Brace 1"/>
        <cdr:cNvSpPr/>
      </cdr:nvSpPr>
      <cdr:spPr>
        <a:xfrm xmlns:a="http://schemas.openxmlformats.org/drawingml/2006/main">
          <a:off x="1034145" y="163285"/>
          <a:ext cx="206829" cy="816429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0.18725</cdr:x>
      <cdr:y>0.3128</cdr:y>
    </cdr:from>
    <cdr:to>
      <cdr:x>0.21175</cdr:x>
      <cdr:y>0.68267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1393047" y="1549951"/>
          <a:ext cx="182266" cy="1832756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stark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tstark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8"/>
  <sheetViews>
    <sheetView zoomScaleNormal="100" workbookViewId="0">
      <selection activeCell="B5" sqref="B5"/>
    </sheetView>
  </sheetViews>
  <sheetFormatPr defaultColWidth="8.85546875" defaultRowHeight="15" x14ac:dyDescent="0.25"/>
  <cols>
    <col min="1" max="1" width="1.85546875" style="1" customWidth="1"/>
    <col min="2" max="3" width="10.5703125" style="1" customWidth="1"/>
    <col min="4" max="4" width="12.140625" style="1" customWidth="1"/>
    <col min="5" max="5" width="15.5703125" style="1" customWidth="1"/>
    <col min="6" max="6" width="8.85546875" style="1" customWidth="1"/>
    <col min="7" max="7" width="10.140625" style="1" customWidth="1"/>
    <col min="8" max="8" width="10.85546875" style="1" customWidth="1"/>
    <col min="9" max="9" width="11.42578125" style="1" customWidth="1"/>
    <col min="10" max="10" width="12.85546875" style="1" customWidth="1"/>
    <col min="11" max="13" width="8.85546875" style="1" customWidth="1"/>
    <col min="14" max="14" width="11.5703125" style="1" customWidth="1"/>
    <col min="15" max="15" width="10.5703125" style="1" customWidth="1"/>
    <col min="16" max="16" width="12" style="1" customWidth="1"/>
    <col min="17" max="17" width="5.85546875" style="1" customWidth="1"/>
    <col min="18" max="18" width="10" style="1" bestFit="1" customWidth="1"/>
    <col min="19" max="19" width="8.85546875" style="1"/>
    <col min="20" max="20" width="10" style="1" bestFit="1" customWidth="1"/>
    <col min="21" max="21" width="10.42578125" style="1" bestFit="1" customWidth="1"/>
    <col min="22" max="22" width="14.42578125" style="1" bestFit="1" customWidth="1"/>
    <col min="23" max="23" width="8.85546875" style="1"/>
    <col min="24" max="24" width="10" style="1" bestFit="1" customWidth="1"/>
    <col min="25" max="25" width="8.85546875" style="1"/>
    <col min="26" max="26" width="10" style="1" bestFit="1" customWidth="1"/>
    <col min="27" max="16384" width="8.85546875" style="1"/>
  </cols>
  <sheetData>
    <row r="1" spans="1:21" ht="30" customHeight="1" x14ac:dyDescent="0.25">
      <c r="A1" s="71"/>
      <c r="B1" s="204" t="s">
        <v>16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71"/>
    </row>
    <row r="2" spans="1:21" ht="19.5" customHeight="1" x14ac:dyDescent="0.35">
      <c r="A2" s="71"/>
      <c r="B2" s="205" t="s">
        <v>44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7"/>
      <c r="Q2" s="71"/>
    </row>
    <row r="3" spans="1:21" ht="18.75" customHeight="1" x14ac:dyDescent="0.35">
      <c r="A3" s="71"/>
      <c r="B3" s="208" t="s">
        <v>11</v>
      </c>
      <c r="C3" s="209"/>
      <c r="D3" s="210" t="s">
        <v>10</v>
      </c>
      <c r="E3" s="100"/>
      <c r="F3" s="213" t="s">
        <v>19</v>
      </c>
      <c r="G3" s="214"/>
      <c r="H3" s="214"/>
      <c r="I3" s="214"/>
      <c r="J3" s="215"/>
      <c r="K3" s="216" t="s">
        <v>20</v>
      </c>
      <c r="L3" s="217"/>
      <c r="M3" s="217"/>
      <c r="N3" s="217"/>
      <c r="O3" s="217"/>
      <c r="P3" s="218"/>
      <c r="Q3" s="71"/>
    </row>
    <row r="4" spans="1:21" ht="17.25" customHeight="1" x14ac:dyDescent="0.25">
      <c r="A4" s="71"/>
      <c r="B4" s="101" t="s">
        <v>17</v>
      </c>
      <c r="C4" s="101" t="s">
        <v>21</v>
      </c>
      <c r="D4" s="211"/>
      <c r="E4" s="149" t="s">
        <v>23</v>
      </c>
      <c r="F4" s="74" t="s">
        <v>24</v>
      </c>
      <c r="G4" s="165" t="s">
        <v>28</v>
      </c>
      <c r="H4" s="74" t="s">
        <v>27</v>
      </c>
      <c r="I4" s="165" t="s">
        <v>26</v>
      </c>
      <c r="J4" s="165" t="s">
        <v>25</v>
      </c>
      <c r="K4" s="166">
        <v>0</v>
      </c>
      <c r="L4" s="166">
        <v>12</v>
      </c>
      <c r="M4" s="166">
        <v>50</v>
      </c>
      <c r="N4" s="166">
        <v>100</v>
      </c>
      <c r="O4" s="166">
        <v>400</v>
      </c>
      <c r="P4" s="166">
        <v>700</v>
      </c>
      <c r="Q4" s="71"/>
    </row>
    <row r="5" spans="1:21" ht="21" customHeight="1" x14ac:dyDescent="0.3">
      <c r="A5" s="71"/>
      <c r="B5" s="99">
        <v>30</v>
      </c>
      <c r="C5" s="99">
        <v>18</v>
      </c>
      <c r="D5" s="211"/>
      <c r="E5" s="167" t="s">
        <v>15</v>
      </c>
      <c r="F5" s="168" t="s">
        <v>18</v>
      </c>
      <c r="G5" s="169">
        <f>IF(C5&lt;21,F10,IF(C5&gt;45,F15,F12))</f>
        <v>31.596700000000002</v>
      </c>
      <c r="H5" s="169">
        <f>IF(C5&lt;21,G10,IF(C5&gt;45,G15,G12))</f>
        <v>31.072900000000001</v>
      </c>
      <c r="I5" s="169">
        <f>IF(C5&lt;21,H10,IF(C5&gt;45,H15,H12))</f>
        <v>30.174000000000003</v>
      </c>
      <c r="J5" s="169">
        <f>IF(C5&lt;21,I10,IF(C5&gt;45,I15,I12))</f>
        <v>29.494700000000005</v>
      </c>
      <c r="K5" s="170">
        <v>0</v>
      </c>
      <c r="L5" s="170" t="s">
        <v>18</v>
      </c>
      <c r="M5" s="169">
        <f>IF(G5="NA", "NA", 50*TAN(RADIANS(G5)))</f>
        <v>30.756235649590014</v>
      </c>
      <c r="N5" s="169">
        <f>IF(H5="NA", "NA", 100*TAN(RADIANS(H5)))</f>
        <v>60.259364904887406</v>
      </c>
      <c r="O5" s="169">
        <f>IF(I5="NA", "NA", 400*TAN(RADIANS(I5)))</f>
        <v>232.5626230297126</v>
      </c>
      <c r="P5" s="169">
        <f>IF(J5="NA", "NA", 700*TAN(RADIANS(J5)))</f>
        <v>395.95547054055459</v>
      </c>
      <c r="Q5" s="71"/>
    </row>
    <row r="6" spans="1:21" ht="22.5" customHeight="1" x14ac:dyDescent="0.3">
      <c r="A6" s="71"/>
      <c r="B6" s="72"/>
      <c r="C6" s="72"/>
      <c r="D6" s="212"/>
      <c r="E6" s="171" t="s">
        <v>14</v>
      </c>
      <c r="F6" s="172">
        <f>IF(C5&lt;21,E19,IF(C5&gt;45,E23,E21))</f>
        <v>33.662389999999995</v>
      </c>
      <c r="G6" s="172">
        <f>IF(C5&lt;21,F19,IF(C5&gt;45,F23,F21))</f>
        <v>32.9345</v>
      </c>
      <c r="H6" s="172">
        <f>IF(C5&lt;21,G19,IF(C5&gt;45,G23,G21))</f>
        <v>32.040400000000005</v>
      </c>
      <c r="I6" s="172">
        <f>IF(C5&lt;21,H19,IF(C5&gt;45,H23,H21))</f>
        <v>31.283899999999999</v>
      </c>
      <c r="J6" s="172" t="s">
        <v>18</v>
      </c>
      <c r="K6" s="173">
        <v>0</v>
      </c>
      <c r="L6" s="172">
        <f>IF(F6="NA", "NA", 12*TAN(RADIANS(F6)))</f>
        <v>7.9916295863883366</v>
      </c>
      <c r="M6" s="172">
        <f>IF(G6="NA", "NA", 50*TAN(RADIANS(G6)))</f>
        <v>32.389174475409455</v>
      </c>
      <c r="N6" s="172">
        <f>IF(H6="NA", "NA", 100*TAN(RADIANS(H6)))</f>
        <v>62.585021689477912</v>
      </c>
      <c r="O6" s="172">
        <f>IF(I6="NA","NA",400*TAN(RADIANS(I6)))</f>
        <v>243.04988792588512</v>
      </c>
      <c r="P6" s="173" t="s">
        <v>18</v>
      </c>
      <c r="Q6" s="71"/>
    </row>
    <row r="7" spans="1:21" ht="16.5" hidden="1" customHeight="1" x14ac:dyDescent="0.35">
      <c r="A7" s="7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Q7" s="71"/>
      <c r="R7" s="3"/>
    </row>
    <row r="8" spans="1:21" ht="16.5" hidden="1" customHeight="1" x14ac:dyDescent="0.3">
      <c r="A8" s="71"/>
      <c r="B8" s="190" t="s">
        <v>12</v>
      </c>
      <c r="C8" s="190"/>
      <c r="D8" s="190"/>
      <c r="E8" s="190"/>
      <c r="F8" s="190"/>
      <c r="G8" s="190"/>
      <c r="H8" s="190"/>
      <c r="I8" s="190"/>
      <c r="J8" s="4"/>
      <c r="K8" s="4"/>
      <c r="L8" s="191" t="s">
        <v>12</v>
      </c>
      <c r="M8" s="191"/>
      <c r="N8" s="191"/>
      <c r="O8" s="191"/>
      <c r="P8" s="191"/>
      <c r="Q8" s="71"/>
      <c r="R8" s="192" t="s">
        <v>13</v>
      </c>
      <c r="S8" s="193"/>
      <c r="T8" s="193"/>
      <c r="U8" s="194"/>
    </row>
    <row r="9" spans="1:21" ht="14.45" hidden="1" customHeight="1" x14ac:dyDescent="0.3">
      <c r="A9" s="71"/>
      <c r="B9" s="195" t="s">
        <v>36</v>
      </c>
      <c r="C9" s="75">
        <f>B5</f>
        <v>30</v>
      </c>
      <c r="D9" s="75"/>
      <c r="E9" s="75" t="s">
        <v>18</v>
      </c>
      <c r="F9" s="76">
        <f>39.7-0.29*C9+0.000663*(C9)^2</f>
        <v>31.596700000000002</v>
      </c>
      <c r="G9" s="76">
        <f>39.4-0.298*C9+0.000681*(C9)^2</f>
        <v>31.072900000000001</v>
      </c>
      <c r="H9" s="76">
        <f>40.2-0.375*C9+0.00136*(C9)^2</f>
        <v>30.174000000000003</v>
      </c>
      <c r="I9" s="77">
        <f>40.34-0.412*C9+0.001683*(C9)^2</f>
        <v>29.494700000000005</v>
      </c>
      <c r="L9" s="5" t="s">
        <v>36</v>
      </c>
      <c r="M9" s="6" t="s">
        <v>1</v>
      </c>
      <c r="N9" s="6" t="s">
        <v>2</v>
      </c>
      <c r="O9" s="6" t="s">
        <v>3</v>
      </c>
      <c r="Q9" s="71"/>
      <c r="R9" s="5" t="s">
        <v>36</v>
      </c>
      <c r="S9" s="7" t="s">
        <v>1</v>
      </c>
      <c r="T9" s="8" t="s">
        <v>2</v>
      </c>
      <c r="U9" s="8" t="s">
        <v>3</v>
      </c>
    </row>
    <row r="10" spans="1:21" ht="14.45" hidden="1" customHeight="1" x14ac:dyDescent="0.35">
      <c r="A10" s="71"/>
      <c r="B10" s="196"/>
      <c r="C10" s="78">
        <f>C9</f>
        <v>30</v>
      </c>
      <c r="D10" s="78"/>
      <c r="E10" s="78" t="s">
        <v>18</v>
      </c>
      <c r="F10" s="79">
        <f>IF(C10&lt;30,"NA",IF(C10&lt;81,F9,"NA"))</f>
        <v>31.596700000000002</v>
      </c>
      <c r="G10" s="79">
        <f>IF(C10&lt;30,"NA",IF(C10&lt;81,G9,"NA"))</f>
        <v>31.072900000000001</v>
      </c>
      <c r="H10" s="79">
        <f>IF(C10&lt;30,"NA",IF(C10&lt;81,H9,"NA"))</f>
        <v>30.174000000000003</v>
      </c>
      <c r="I10" s="80">
        <f>IF(C10&lt;30,"NA",IF(C10&lt;81,I9,"NA"))</f>
        <v>29.494700000000005</v>
      </c>
      <c r="L10" s="134" t="s">
        <v>0</v>
      </c>
      <c r="M10" s="9"/>
      <c r="N10" s="9" t="s">
        <v>4</v>
      </c>
      <c r="O10" s="9" t="s">
        <v>5</v>
      </c>
      <c r="Q10" s="71"/>
      <c r="R10" s="134" t="s">
        <v>0</v>
      </c>
      <c r="S10" s="10"/>
      <c r="T10" s="11" t="s">
        <v>4</v>
      </c>
      <c r="U10" s="11" t="s">
        <v>5</v>
      </c>
    </row>
    <row r="11" spans="1:21" hidden="1" x14ac:dyDescent="0.25">
      <c r="A11" s="71"/>
      <c r="B11" s="197" t="s">
        <v>37</v>
      </c>
      <c r="C11" s="81">
        <f>B5</f>
        <v>30</v>
      </c>
      <c r="D11" s="81"/>
      <c r="E11" s="81" t="s">
        <v>18</v>
      </c>
      <c r="F11" s="82">
        <f>31.4-0.0068*C11-0.00362*(C11)^2+0.0000187*(C11)^3</f>
        <v>28.442899999999998</v>
      </c>
      <c r="G11" s="82">
        <f>29.8-0.00036*C11-0.00358*(C11)^2+0.0000185*(C11)^3</f>
        <v>27.066700000000001</v>
      </c>
      <c r="H11" s="82">
        <f>28.4-0.056*C11-0.00295*(C11)^2+0.0000172*(C11)^3</f>
        <v>24.529399999999999</v>
      </c>
      <c r="I11" s="83">
        <f>28.05-0.2083*C11-0.0008183*(C11)^2+0.000009372*(C11)^3</f>
        <v>21.317574</v>
      </c>
      <c r="L11" s="12">
        <v>50</v>
      </c>
      <c r="M11" s="13">
        <v>39.700000000000003</v>
      </c>
      <c r="N11" s="14">
        <v>-0.28999999999999998</v>
      </c>
      <c r="O11" s="15">
        <v>6.6299999999999996E-4</v>
      </c>
      <c r="Q11" s="71"/>
      <c r="R11" s="16">
        <v>50</v>
      </c>
      <c r="S11" s="17">
        <v>34.85</v>
      </c>
      <c r="T11" s="18">
        <v>-7.0900000000000005E-2</v>
      </c>
      <c r="U11" s="19">
        <v>2.3499999999999999E-4</v>
      </c>
    </row>
    <row r="12" spans="1:21" hidden="1" x14ac:dyDescent="0.25">
      <c r="A12" s="71"/>
      <c r="B12" s="198"/>
      <c r="C12" s="84">
        <f>C11</f>
        <v>30</v>
      </c>
      <c r="D12" s="84"/>
      <c r="E12" s="84" t="s">
        <v>18</v>
      </c>
      <c r="F12" s="85">
        <f>IF(C12&lt;30,"NA",IF(C12&lt;=130,F11,"NA"))</f>
        <v>28.442899999999998</v>
      </c>
      <c r="G12" s="85">
        <f>IF(C12&lt;30,"NA",IF(C12&lt;=130,G11,"NA"))</f>
        <v>27.066700000000001</v>
      </c>
      <c r="H12" s="85">
        <f>IF(C12&lt;30,"NA",IF(C12&lt;=130,H11,"NA"))</f>
        <v>24.529399999999999</v>
      </c>
      <c r="I12" s="86">
        <f>IF(C12&lt;30,"NA",IF(C12&lt;=130,I11,"NA"))</f>
        <v>21.317574</v>
      </c>
      <c r="L12" s="20">
        <v>100</v>
      </c>
      <c r="M12" s="21">
        <v>39.4</v>
      </c>
      <c r="N12" s="22">
        <v>-0.29799999999999999</v>
      </c>
      <c r="O12" s="23">
        <v>6.8099999999999996E-4</v>
      </c>
      <c r="Q12" s="71"/>
      <c r="R12" s="24">
        <v>100</v>
      </c>
      <c r="S12" s="25">
        <v>34.39</v>
      </c>
      <c r="T12" s="26">
        <v>-8.6300000000000002E-2</v>
      </c>
      <c r="U12" s="27">
        <v>2.6600000000000001E-4</v>
      </c>
    </row>
    <row r="13" spans="1:21" ht="15" hidden="1" customHeight="1" x14ac:dyDescent="0.25">
      <c r="A13" s="71"/>
      <c r="B13" s="199" t="s">
        <v>38</v>
      </c>
      <c r="C13" s="87">
        <f>B5</f>
        <v>30</v>
      </c>
      <c r="D13" s="87"/>
      <c r="E13" s="87" t="s">
        <v>18</v>
      </c>
      <c r="F13" s="88">
        <f>33.5-0.31*$C13+0.00039*($C13)^2+0.0000044*($C13)^3</f>
        <v>24.669799999999999</v>
      </c>
      <c r="G13" s="88">
        <f>30.7-0.2504*$C13-0.00042053*($C13)^2+0.0000080479*($C13)^3</f>
        <v>23.0268163</v>
      </c>
      <c r="H13" s="88">
        <f>29.42-0.2621*$C13-0.0004011*($C13)^2+0.000008718*($C13)^3</f>
        <v>21.431395999999999</v>
      </c>
      <c r="I13" s="89">
        <f>27.7-0.3233*$C13+0.0002896*($C13)^2+0.0000071131*($C13)^3</f>
        <v>18.453693699999995</v>
      </c>
      <c r="L13" s="28">
        <v>400</v>
      </c>
      <c r="M13" s="29">
        <v>40.200000000000003</v>
      </c>
      <c r="N13" s="25">
        <v>-0.375</v>
      </c>
      <c r="O13" s="30">
        <v>1.3600000000000001E-3</v>
      </c>
      <c r="Q13" s="71"/>
      <c r="R13" s="31">
        <v>400</v>
      </c>
      <c r="S13" s="32">
        <v>34.76</v>
      </c>
      <c r="T13" s="33">
        <v>-0.13</v>
      </c>
      <c r="U13" s="34">
        <v>4.7100000000000001E-4</v>
      </c>
    </row>
    <row r="14" spans="1:21" ht="15" hidden="1" customHeight="1" x14ac:dyDescent="0.25">
      <c r="A14" s="71"/>
      <c r="B14" s="200"/>
      <c r="C14" s="90">
        <f>C13</f>
        <v>30</v>
      </c>
      <c r="D14" s="90"/>
      <c r="E14" s="90" t="s">
        <v>18</v>
      </c>
      <c r="F14" s="91">
        <f>12.03-0.0215*$C14</f>
        <v>11.385</v>
      </c>
      <c r="G14" s="91">
        <f>10.64-0.0183*$C14</f>
        <v>10.091000000000001</v>
      </c>
      <c r="H14" s="91">
        <f>8.32-0.0114*$C14</f>
        <v>7.9780000000000006</v>
      </c>
      <c r="I14" s="92">
        <f>5.84-0.0049*$C14</f>
        <v>5.6929999999999996</v>
      </c>
      <c r="L14" s="35">
        <v>700</v>
      </c>
      <c r="M14" s="36">
        <v>40.299999999999997</v>
      </c>
      <c r="N14" s="32">
        <v>-0.41199999999999998</v>
      </c>
      <c r="O14" s="37">
        <v>1.6800000000000001E-3</v>
      </c>
      <c r="Q14" s="71"/>
    </row>
    <row r="15" spans="1:21" hidden="1" x14ac:dyDescent="0.25">
      <c r="A15" s="71"/>
      <c r="B15" s="201"/>
      <c r="C15" s="93">
        <f>B5</f>
        <v>30</v>
      </c>
      <c r="D15" s="93"/>
      <c r="E15" s="93" t="s">
        <v>18</v>
      </c>
      <c r="F15" s="94">
        <f>IF(C15&lt;30,"NA",IF(C15&lt;120,F13,IF(C15&lt;=300,F14,"NA")))</f>
        <v>24.669799999999999</v>
      </c>
      <c r="G15" s="94">
        <f>IF(C15&lt;30,"NA",IF(C15&lt;120,G13,IF(C15&lt;=300,G14,"NA")))</f>
        <v>23.0268163</v>
      </c>
      <c r="H15" s="94">
        <f>IF(C15&lt;30,"NA",IF(C15&lt;120,H13,IF(C15&lt;=300,H14,"NA")))</f>
        <v>21.431395999999999</v>
      </c>
      <c r="I15" s="95">
        <f>IF(C15&lt;30,"NA",IF(C15&lt;120,I13,IF(C15&lt;=300,I14,"NA")))</f>
        <v>18.453693699999995</v>
      </c>
      <c r="Q15" s="71"/>
    </row>
    <row r="16" spans="1:21" ht="18.75" hidden="1" x14ac:dyDescent="0.3">
      <c r="A16" s="71"/>
      <c r="L16" s="38" t="s">
        <v>37</v>
      </c>
      <c r="M16" s="39" t="s">
        <v>1</v>
      </c>
      <c r="N16" s="39" t="s">
        <v>2</v>
      </c>
      <c r="O16" s="39" t="s">
        <v>3</v>
      </c>
      <c r="P16" s="39" t="s">
        <v>6</v>
      </c>
      <c r="Q16" s="71"/>
      <c r="R16" s="38" t="s">
        <v>37</v>
      </c>
      <c r="S16" s="40" t="s">
        <v>1</v>
      </c>
      <c r="T16" s="41" t="s">
        <v>2</v>
      </c>
      <c r="U16" s="41" t="s">
        <v>3</v>
      </c>
    </row>
    <row r="17" spans="1:22" ht="19.5" hidden="1" x14ac:dyDescent="0.35">
      <c r="A17" s="71"/>
      <c r="B17" s="183" t="s">
        <v>13</v>
      </c>
      <c r="C17" s="184"/>
      <c r="D17" s="184"/>
      <c r="E17" s="184"/>
      <c r="F17" s="184"/>
      <c r="G17" s="184"/>
      <c r="H17" s="184"/>
      <c r="I17" s="185"/>
      <c r="L17" s="42" t="s">
        <v>0</v>
      </c>
      <c r="M17" s="39"/>
      <c r="N17" s="39" t="s">
        <v>4</v>
      </c>
      <c r="O17" s="39" t="s">
        <v>5</v>
      </c>
      <c r="P17" s="39" t="s">
        <v>7</v>
      </c>
      <c r="Q17" s="71"/>
      <c r="R17" s="42" t="s">
        <v>0</v>
      </c>
      <c r="S17" s="40"/>
      <c r="T17" s="41" t="s">
        <v>4</v>
      </c>
      <c r="U17" s="41" t="s">
        <v>5</v>
      </c>
    </row>
    <row r="18" spans="1:22" hidden="1" x14ac:dyDescent="0.25">
      <c r="A18" s="71"/>
      <c r="B18" s="202" t="s">
        <v>36</v>
      </c>
      <c r="C18" s="96">
        <f>B5</f>
        <v>30</v>
      </c>
      <c r="D18" s="96"/>
      <c r="E18" s="97">
        <f>35.33-0.0585*C18+0.0000971*C18^2</f>
        <v>33.662389999999995</v>
      </c>
      <c r="F18" s="97">
        <f>34.85-0.0709*C18+0.000235*(C18)^2</f>
        <v>32.9345</v>
      </c>
      <c r="G18" s="97">
        <f>34.39-0.0863*C18+0.000266*(C18)^2</f>
        <v>32.040400000000005</v>
      </c>
      <c r="H18" s="97">
        <f>34.76-0.13*C18+0.000471*(C18)^2</f>
        <v>31.283899999999999</v>
      </c>
      <c r="I18" s="98" t="s">
        <v>18</v>
      </c>
      <c r="L18" s="12">
        <v>50</v>
      </c>
      <c r="M18" s="43">
        <v>31.4</v>
      </c>
      <c r="N18" s="44">
        <v>-6.7999999999999996E-3</v>
      </c>
      <c r="O18" s="44">
        <v>-3.62E-3</v>
      </c>
      <c r="P18" s="44">
        <v>1.8700000000000001E-5</v>
      </c>
      <c r="Q18" s="71"/>
      <c r="R18" s="16">
        <v>50</v>
      </c>
      <c r="S18" s="17">
        <v>36.18</v>
      </c>
      <c r="T18" s="18">
        <v>-0.1143</v>
      </c>
      <c r="U18" s="19">
        <v>2.354E-4</v>
      </c>
    </row>
    <row r="19" spans="1:22" hidden="1" x14ac:dyDescent="0.25">
      <c r="A19" s="71"/>
      <c r="B19" s="196"/>
      <c r="C19" s="78">
        <f>C18</f>
        <v>30</v>
      </c>
      <c r="D19" s="78"/>
      <c r="E19" s="79">
        <f>IF(C19&lt;30,"NA",IF(C19&lt;81,E18,"NA"))</f>
        <v>33.662389999999995</v>
      </c>
      <c r="F19" s="79">
        <f>IF(C19&lt;30,"NA",IF(C19&lt;81,F18,"NA"))</f>
        <v>32.9345</v>
      </c>
      <c r="G19" s="79">
        <f>IF(C19&lt;30,"NA",IF(C19&lt;81,G18,"NA"))</f>
        <v>32.040400000000005</v>
      </c>
      <c r="H19" s="79">
        <f>IF(C19&lt;30,"NA",IF(C19&lt;81,H18,"NA"))</f>
        <v>31.283899999999999</v>
      </c>
      <c r="I19" s="80" t="s">
        <v>18</v>
      </c>
      <c r="L19" s="20">
        <v>100</v>
      </c>
      <c r="M19" s="45">
        <v>29.8</v>
      </c>
      <c r="N19" s="46">
        <v>-3.6000000000000002E-4</v>
      </c>
      <c r="O19" s="46">
        <v>-3.5799999999999998E-3</v>
      </c>
      <c r="P19" s="46">
        <v>1.8499999999999999E-5</v>
      </c>
      <c r="Q19" s="71"/>
      <c r="R19" s="24">
        <v>100</v>
      </c>
      <c r="S19" s="25">
        <v>33.11</v>
      </c>
      <c r="T19" s="26">
        <v>-0.107</v>
      </c>
      <c r="U19" s="47">
        <v>2.2000000000000001E-4</v>
      </c>
    </row>
    <row r="20" spans="1:22" hidden="1" x14ac:dyDescent="0.25">
      <c r="A20" s="71"/>
      <c r="B20" s="197" t="s">
        <v>37</v>
      </c>
      <c r="C20" s="81">
        <f>B5</f>
        <v>30</v>
      </c>
      <c r="D20" s="81"/>
      <c r="E20" s="82">
        <f>38.1-0.119*C20+0.000248*C20^2</f>
        <v>34.7532</v>
      </c>
      <c r="F20" s="82">
        <f>36.18-0.1143*C20+0.0002354*(C20)^2</f>
        <v>32.962859999999999</v>
      </c>
      <c r="G20" s="82">
        <f>33.11-0.107*C20+0.00022*(C20)^2</f>
        <v>30.097999999999999</v>
      </c>
      <c r="H20" s="82">
        <f>30.7-0.1263*C20+0.0003442*(C20)^2</f>
        <v>27.220780000000001</v>
      </c>
      <c r="I20" s="83" t="s">
        <v>18</v>
      </c>
      <c r="L20" s="28">
        <v>400</v>
      </c>
      <c r="M20" s="48">
        <v>28.4</v>
      </c>
      <c r="N20" s="49">
        <v>-5.6000000000000001E-2</v>
      </c>
      <c r="O20" s="49">
        <v>-2.9499999999999999E-3</v>
      </c>
      <c r="P20" s="49">
        <v>1.7200000000000001E-5</v>
      </c>
      <c r="Q20" s="71"/>
      <c r="R20" s="31">
        <v>400</v>
      </c>
      <c r="S20" s="32">
        <v>30.7</v>
      </c>
      <c r="T20" s="33">
        <v>-0.1263</v>
      </c>
      <c r="U20" s="50">
        <v>3.4420000000000002E-4</v>
      </c>
    </row>
    <row r="21" spans="1:22" hidden="1" x14ac:dyDescent="0.25">
      <c r="A21" s="71"/>
      <c r="B21" s="198"/>
      <c r="C21" s="84">
        <f>C20</f>
        <v>30</v>
      </c>
      <c r="D21" s="84"/>
      <c r="E21" s="85">
        <f>IF(C21&lt;30,"NA",IF(C21&lt;=130,E20,"NA"))</f>
        <v>34.7532</v>
      </c>
      <c r="F21" s="85">
        <f>IF(C21&lt;30,"NA",IF(C21&lt;=130,F20,"NA"))</f>
        <v>32.962859999999999</v>
      </c>
      <c r="G21" s="85">
        <f>IF(C21&lt;30,"NA",IF(C21&lt;=130,G20,"NA"))</f>
        <v>30.097999999999999</v>
      </c>
      <c r="H21" s="85">
        <f>IF(C21&lt;30,"NA",IF(C21&lt;=130,H20,"NA"))</f>
        <v>27.220780000000001</v>
      </c>
      <c r="I21" s="86" t="s">
        <v>18</v>
      </c>
      <c r="L21" s="35">
        <v>700</v>
      </c>
      <c r="M21" s="51">
        <v>27.7</v>
      </c>
      <c r="N21" s="52">
        <v>-0.20100000000000001</v>
      </c>
      <c r="O21" s="52">
        <v>-7.2000000000000005E-4</v>
      </c>
      <c r="P21" s="52">
        <v>8.1999999999999994E-6</v>
      </c>
      <c r="Q21" s="71"/>
    </row>
    <row r="22" spans="1:22" ht="15" hidden="1" customHeight="1" x14ac:dyDescent="0.25">
      <c r="A22" s="71"/>
      <c r="B22" s="199" t="s">
        <v>38</v>
      </c>
      <c r="C22" s="90">
        <f>B5</f>
        <v>30</v>
      </c>
      <c r="D22" s="90"/>
      <c r="E22" s="91">
        <f>36.45-0.0918*C22+0.000109*C22^2-0.00000011*C22^3</f>
        <v>33.79113000000001</v>
      </c>
      <c r="F22" s="91">
        <f>33.37-0.11*$C22+0.0002344*($C22)^2-0.000000296*($C22)^3</f>
        <v>30.272967999999995</v>
      </c>
      <c r="G22" s="91">
        <f>31.17-0.142*$C22+0.0004678*($C22)^2-0.0000006762*($C22)^3</f>
        <v>27.312762600000003</v>
      </c>
      <c r="H22" s="91">
        <f>28-0.1533*$C22+0.000566*($C22)^2-0.0000008414*($C22)^3</f>
        <v>23.8876822</v>
      </c>
      <c r="I22" s="92" t="s">
        <v>18</v>
      </c>
      <c r="L22" s="53" t="s">
        <v>9</v>
      </c>
      <c r="M22" s="54"/>
      <c r="N22" s="54"/>
      <c r="O22" s="54"/>
      <c r="P22" s="54"/>
      <c r="Q22" s="71"/>
    </row>
    <row r="23" spans="1:22" ht="15.75" hidden="1" customHeight="1" x14ac:dyDescent="0.3">
      <c r="A23" s="71"/>
      <c r="B23" s="201"/>
      <c r="C23" s="93">
        <f>C22</f>
        <v>30</v>
      </c>
      <c r="D23" s="93"/>
      <c r="E23" s="94">
        <f>IF(C23&lt;30,"NA",IF(C23&lt;=300,E22,"NA"))</f>
        <v>33.79113000000001</v>
      </c>
      <c r="F23" s="94">
        <f>IF(C23&lt;30,"NA",IF(C23&lt;=300,F22,"NA"))</f>
        <v>30.272967999999995</v>
      </c>
      <c r="G23" s="94">
        <f>IF(C23&lt;30,"NA",IF(C23&lt;=300,G22,"NA"))</f>
        <v>27.312762600000003</v>
      </c>
      <c r="H23" s="94">
        <f>IF(C23&lt;30,"NA",IF(C23&lt;=300,H22,"NA"))</f>
        <v>23.8876822</v>
      </c>
      <c r="I23" s="95" t="s">
        <v>18</v>
      </c>
      <c r="L23" s="55" t="s">
        <v>38</v>
      </c>
      <c r="M23" s="56" t="s">
        <v>1</v>
      </c>
      <c r="N23" s="56" t="s">
        <v>2</v>
      </c>
      <c r="O23" s="56" t="s">
        <v>3</v>
      </c>
      <c r="P23" s="56" t="s">
        <v>6</v>
      </c>
      <c r="Q23" s="71"/>
      <c r="R23" s="55" t="s">
        <v>38</v>
      </c>
      <c r="S23" s="57" t="s">
        <v>1</v>
      </c>
      <c r="T23" s="58" t="s">
        <v>2</v>
      </c>
      <c r="U23" s="58" t="s">
        <v>3</v>
      </c>
      <c r="V23" s="58" t="s">
        <v>6</v>
      </c>
    </row>
    <row r="24" spans="1:22" ht="18.75" hidden="1" x14ac:dyDescent="0.35">
      <c r="A24" s="71"/>
      <c r="L24" s="59" t="s">
        <v>0</v>
      </c>
      <c r="M24" s="56"/>
      <c r="N24" s="56" t="s">
        <v>4</v>
      </c>
      <c r="O24" s="56" t="s">
        <v>5</v>
      </c>
      <c r="P24" s="56" t="s">
        <v>7</v>
      </c>
      <c r="Q24" s="71"/>
      <c r="R24" s="59" t="s">
        <v>0</v>
      </c>
      <c r="S24" s="57"/>
      <c r="T24" s="58" t="s">
        <v>4</v>
      </c>
      <c r="U24" s="58" t="s">
        <v>5</v>
      </c>
      <c r="V24" s="58" t="s">
        <v>7</v>
      </c>
    </row>
    <row r="25" spans="1:22" hidden="1" x14ac:dyDescent="0.25">
      <c r="A25" s="71"/>
      <c r="L25" s="60">
        <v>50</v>
      </c>
      <c r="M25" s="61">
        <v>33.5</v>
      </c>
      <c r="N25" s="62">
        <v>-0.31</v>
      </c>
      <c r="O25" s="63">
        <v>3.8999999999999999E-4</v>
      </c>
      <c r="P25" s="64">
        <v>4.4000000000000002E-6</v>
      </c>
      <c r="Q25" s="71"/>
      <c r="R25" s="65">
        <v>50</v>
      </c>
      <c r="S25" s="66">
        <v>33.369999999999997</v>
      </c>
      <c r="T25" s="18">
        <v>-0.11</v>
      </c>
      <c r="U25" s="19">
        <v>2.3440000000000001E-4</v>
      </c>
      <c r="V25" s="67">
        <v>-2.96E-7</v>
      </c>
    </row>
    <row r="26" spans="1:22" hidden="1" x14ac:dyDescent="0.25">
      <c r="A26" s="71"/>
      <c r="L26" s="60">
        <v>100</v>
      </c>
      <c r="M26" s="61">
        <v>32.200000000000003</v>
      </c>
      <c r="N26" s="62">
        <v>-0.30499999999999999</v>
      </c>
      <c r="O26" s="63">
        <v>2.1000000000000001E-4</v>
      </c>
      <c r="P26" s="64">
        <v>5.6999999999999996E-6</v>
      </c>
      <c r="Q26" s="71"/>
      <c r="R26" s="65">
        <v>100</v>
      </c>
      <c r="S26" s="29">
        <v>31.17</v>
      </c>
      <c r="T26" s="26">
        <v>-0.14199999999999999</v>
      </c>
      <c r="U26" s="47">
        <v>4.6779999999999999E-4</v>
      </c>
      <c r="V26" s="68">
        <v>-6.7619999999999998E-7</v>
      </c>
    </row>
    <row r="27" spans="1:22" hidden="1" x14ac:dyDescent="0.25">
      <c r="A27" s="71"/>
      <c r="L27" s="60">
        <v>400</v>
      </c>
      <c r="M27" s="61">
        <v>29.4</v>
      </c>
      <c r="N27" s="62">
        <v>-0.26700000000000002</v>
      </c>
      <c r="O27" s="63">
        <v>-3.3E-4</v>
      </c>
      <c r="P27" s="64">
        <v>8.3000000000000002E-6</v>
      </c>
      <c r="Q27" s="71"/>
      <c r="R27" s="65">
        <v>400</v>
      </c>
      <c r="S27" s="36">
        <v>28</v>
      </c>
      <c r="T27" s="33">
        <v>-0.15329999999999999</v>
      </c>
      <c r="U27" s="50">
        <v>5.6400000000000005E-4</v>
      </c>
      <c r="V27" s="69">
        <v>-8.414E-7</v>
      </c>
    </row>
    <row r="28" spans="1:22" hidden="1" x14ac:dyDescent="0.25">
      <c r="A28" s="71"/>
      <c r="L28" s="60">
        <v>700</v>
      </c>
      <c r="M28" s="61">
        <v>40.5</v>
      </c>
      <c r="N28" s="62">
        <v>-0.8</v>
      </c>
      <c r="O28" s="63">
        <v>6.0000000000000001E-3</v>
      </c>
      <c r="P28" s="64">
        <v>-1.4800000000000001E-5</v>
      </c>
      <c r="Q28" s="71"/>
    </row>
    <row r="29" spans="1:22" hidden="1" x14ac:dyDescent="0.25">
      <c r="A29" s="71"/>
      <c r="L29" s="53" t="s">
        <v>8</v>
      </c>
      <c r="M29" s="54"/>
      <c r="N29" s="54"/>
      <c r="Q29" s="71"/>
    </row>
    <row r="30" spans="1:22" ht="18.75" hidden="1" x14ac:dyDescent="0.3">
      <c r="A30" s="71"/>
      <c r="L30" s="55" t="s">
        <v>38</v>
      </c>
      <c r="M30" s="56" t="s">
        <v>1</v>
      </c>
      <c r="N30" s="56" t="s">
        <v>2</v>
      </c>
      <c r="Q30" s="71"/>
    </row>
    <row r="31" spans="1:22" hidden="1" x14ac:dyDescent="0.25">
      <c r="A31" s="71"/>
      <c r="L31" s="60"/>
      <c r="M31" s="56"/>
      <c r="N31" s="56" t="s">
        <v>4</v>
      </c>
      <c r="Q31" s="71"/>
    </row>
    <row r="32" spans="1:22" hidden="1" x14ac:dyDescent="0.25">
      <c r="A32" s="71"/>
      <c r="L32" s="60">
        <v>50</v>
      </c>
      <c r="M32" s="70">
        <v>12</v>
      </c>
      <c r="N32" s="64">
        <v>-2.1499999999999998E-2</v>
      </c>
      <c r="Q32" s="71"/>
    </row>
    <row r="33" spans="1:18" hidden="1" x14ac:dyDescent="0.25">
      <c r="A33" s="71"/>
      <c r="L33" s="60">
        <v>100</v>
      </c>
      <c r="M33" s="70">
        <v>10.6</v>
      </c>
      <c r="N33" s="64">
        <v>-1.83E-2</v>
      </c>
      <c r="Q33" s="71"/>
    </row>
    <row r="34" spans="1:18" hidden="1" x14ac:dyDescent="0.25">
      <c r="A34" s="71"/>
      <c r="L34" s="60">
        <v>400</v>
      </c>
      <c r="M34" s="70">
        <v>8.3000000000000007</v>
      </c>
      <c r="N34" s="64">
        <v>-1.14E-2</v>
      </c>
      <c r="Q34" s="71"/>
    </row>
    <row r="35" spans="1:18" hidden="1" x14ac:dyDescent="0.25">
      <c r="A35" s="71"/>
      <c r="L35" s="60">
        <v>700</v>
      </c>
      <c r="M35" s="70">
        <v>5.95</v>
      </c>
      <c r="N35" s="64">
        <v>-5.4000000000000003E-3</v>
      </c>
      <c r="Q35" s="71"/>
    </row>
    <row r="36" spans="1:18" ht="18" customHeight="1" x14ac:dyDescent="0.3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203" t="s">
        <v>71</v>
      </c>
      <c r="M36" s="203"/>
      <c r="N36" s="203"/>
      <c r="O36" s="203"/>
      <c r="P36" s="203"/>
      <c r="Q36" s="203"/>
    </row>
    <row r="37" spans="1:18" ht="18.95" customHeight="1" x14ac:dyDescent="0.35">
      <c r="A37" s="71"/>
      <c r="K37" s="71"/>
      <c r="L37" s="135"/>
      <c r="M37" s="135"/>
      <c r="N37" s="135"/>
      <c r="O37" s="135"/>
      <c r="P37" s="135"/>
      <c r="Q37" s="135"/>
    </row>
    <row r="38" spans="1:18" ht="18.95" customHeight="1" x14ac:dyDescent="0.35">
      <c r="A38" s="71"/>
      <c r="K38" s="71"/>
      <c r="L38" s="135"/>
      <c r="M38" s="135"/>
      <c r="N38" s="135"/>
      <c r="O38" s="135"/>
      <c r="P38" s="135"/>
      <c r="Q38" s="135"/>
      <c r="R38" s="133"/>
    </row>
    <row r="39" spans="1:18" ht="18.95" customHeight="1" x14ac:dyDescent="0.35">
      <c r="A39" s="71"/>
      <c r="K39" s="71"/>
      <c r="L39" s="135"/>
      <c r="M39" s="135"/>
      <c r="N39" s="135"/>
      <c r="O39" s="135"/>
      <c r="P39" s="135"/>
      <c r="Q39" s="135"/>
    </row>
    <row r="40" spans="1:18" ht="5.0999999999999996" customHeight="1" x14ac:dyDescent="0.25">
      <c r="A40" s="71"/>
      <c r="K40" s="71"/>
      <c r="L40" s="114"/>
      <c r="M40" s="114"/>
      <c r="N40" s="121"/>
      <c r="O40" s="120"/>
      <c r="P40" s="115"/>
      <c r="Q40" s="71"/>
    </row>
    <row r="41" spans="1:18" ht="20.100000000000001" customHeight="1" x14ac:dyDescent="0.3">
      <c r="A41" s="71"/>
      <c r="K41" s="71"/>
      <c r="L41" s="114"/>
      <c r="M41" s="71"/>
      <c r="N41" s="71"/>
      <c r="O41" s="71"/>
      <c r="P41" s="116"/>
      <c r="Q41" s="71"/>
      <c r="R41" s="133"/>
    </row>
    <row r="42" spans="1:18" ht="15.6" customHeight="1" x14ac:dyDescent="0.3">
      <c r="A42" s="71"/>
      <c r="K42" s="71"/>
      <c r="L42" s="117"/>
      <c r="M42" s="71"/>
      <c r="N42" s="71"/>
      <c r="O42" s="71"/>
      <c r="P42" s="117"/>
      <c r="Q42" s="138"/>
      <c r="R42" s="73"/>
    </row>
    <row r="43" spans="1:18" ht="22.5" customHeight="1" x14ac:dyDescent="0.25">
      <c r="A43" s="71"/>
      <c r="K43" s="71"/>
      <c r="L43" s="118"/>
      <c r="M43" s="71"/>
      <c r="N43" s="71"/>
      <c r="O43" s="71"/>
      <c r="P43" s="119"/>
      <c r="Q43" s="71"/>
    </row>
    <row r="44" spans="1:18" ht="20.100000000000001" customHeight="1" x14ac:dyDescent="0.3">
      <c r="A44" s="71"/>
      <c r="K44" s="71"/>
      <c r="L44" s="122" t="s">
        <v>45</v>
      </c>
      <c r="M44" s="122" t="s">
        <v>62</v>
      </c>
      <c r="N44" s="123" t="s">
        <v>47</v>
      </c>
      <c r="O44" s="122" t="s">
        <v>61</v>
      </c>
      <c r="P44" s="123" t="s">
        <v>46</v>
      </c>
      <c r="Q44" s="71"/>
    </row>
    <row r="45" spans="1:18" ht="20.100000000000001" customHeight="1" x14ac:dyDescent="0.25">
      <c r="A45" s="71"/>
      <c r="K45" s="71"/>
      <c r="L45" s="156">
        <v>0</v>
      </c>
      <c r="M45" s="157">
        <v>0</v>
      </c>
      <c r="N45" s="158">
        <f t="shared" ref="N45:N55" si="0">C137</f>
        <v>0</v>
      </c>
      <c r="O45" s="159">
        <v>0</v>
      </c>
      <c r="P45" s="160">
        <v>0</v>
      </c>
      <c r="Q45" s="71"/>
    </row>
    <row r="46" spans="1:18" ht="20.100000000000001" customHeight="1" x14ac:dyDescent="0.25">
      <c r="A46" s="71"/>
      <c r="K46" s="71"/>
      <c r="L46" s="156">
        <v>15</v>
      </c>
      <c r="M46" s="161">
        <f t="shared" ref="M46:M55" si="1">DEGREES(ATAN(N46/L46))</f>
        <v>31.820633223367171</v>
      </c>
      <c r="N46" s="162">
        <f t="shared" si="0"/>
        <v>9.3078740854932729</v>
      </c>
      <c r="O46" s="163">
        <f>DEGREES(ATAN(P46/L46))</f>
        <v>33.945201617744381</v>
      </c>
      <c r="P46" s="164">
        <f t="shared" ref="P46:P55" si="2">$C$79*$F$79*(L46/$F$79)^$C$80</f>
        <v>10.09676805577346</v>
      </c>
      <c r="Q46" s="71"/>
    </row>
    <row r="47" spans="1:18" ht="20.100000000000001" customHeight="1" x14ac:dyDescent="0.25">
      <c r="A47" s="71"/>
      <c r="K47" s="71"/>
      <c r="L47" s="156">
        <v>25</v>
      </c>
      <c r="M47" s="161">
        <f t="shared" si="1"/>
        <v>31.495056780873686</v>
      </c>
      <c r="N47" s="162">
        <f t="shared" si="0"/>
        <v>15.31705300981913</v>
      </c>
      <c r="O47" s="163">
        <f t="shared" ref="O47:O55" si="3">DEGREES(ATAN(P47/L47))</f>
        <v>33.404995003994422</v>
      </c>
      <c r="P47" s="164">
        <f t="shared" si="2"/>
        <v>16.487590004388643</v>
      </c>
      <c r="Q47" s="71"/>
    </row>
    <row r="48" spans="1:18" ht="20.100000000000001" customHeight="1" x14ac:dyDescent="0.25">
      <c r="A48" s="71"/>
      <c r="K48" s="71"/>
      <c r="L48" s="156">
        <v>75</v>
      </c>
      <c r="M48" s="161">
        <f t="shared" si="1"/>
        <v>30.801245044920542</v>
      </c>
      <c r="N48" s="162">
        <f t="shared" si="0"/>
        <v>44.711181967371786</v>
      </c>
      <c r="O48" s="163">
        <f t="shared" si="3"/>
        <v>32.25805625359007</v>
      </c>
      <c r="P48" s="164">
        <f t="shared" si="2"/>
        <v>47.336220999165299</v>
      </c>
      <c r="Q48" s="71"/>
    </row>
    <row r="49" spans="1:17" ht="20.100000000000001" customHeight="1" x14ac:dyDescent="0.25">
      <c r="A49" s="71"/>
      <c r="K49" s="71"/>
      <c r="L49" s="156">
        <v>150</v>
      </c>
      <c r="M49" s="161">
        <f t="shared" si="1"/>
        <v>30.368094288366208</v>
      </c>
      <c r="N49" s="162">
        <f t="shared" si="0"/>
        <v>87.892233259908096</v>
      </c>
      <c r="O49" s="163">
        <f t="shared" si="3"/>
        <v>31.545380793670308</v>
      </c>
      <c r="P49" s="164">
        <f t="shared" si="2"/>
        <v>92.083619093278898</v>
      </c>
      <c r="Q49" s="71"/>
    </row>
    <row r="50" spans="1:17" ht="20.100000000000001" customHeight="1" x14ac:dyDescent="0.25">
      <c r="A50" s="71"/>
      <c r="K50" s="71"/>
      <c r="L50" s="156">
        <v>200</v>
      </c>
      <c r="M50" s="161">
        <f t="shared" si="1"/>
        <v>30.18938520921666</v>
      </c>
      <c r="N50" s="162">
        <f t="shared" si="0"/>
        <v>116.3531811768441</v>
      </c>
      <c r="O50" s="163">
        <f t="shared" si="3"/>
        <v>31.252184709393532</v>
      </c>
      <c r="P50" s="164">
        <f t="shared" si="2"/>
        <v>121.37341368483649</v>
      </c>
      <c r="Q50" s="71"/>
    </row>
    <row r="51" spans="1:17" ht="20.100000000000001" customHeight="1" x14ac:dyDescent="0.25">
      <c r="A51" s="71"/>
      <c r="K51" s="71"/>
      <c r="L51" s="156">
        <v>300</v>
      </c>
      <c r="M51" s="161">
        <f t="shared" si="1"/>
        <v>29.93858241265746</v>
      </c>
      <c r="N51" s="162">
        <f t="shared" si="0"/>
        <v>172.77657014416408</v>
      </c>
      <c r="O51" s="163">
        <f t="shared" si="3"/>
        <v>30.841590862641208</v>
      </c>
      <c r="P51" s="164">
        <f t="shared" si="2"/>
        <v>179.13117537341222</v>
      </c>
      <c r="Q51" s="71"/>
    </row>
    <row r="52" spans="1:17" ht="21" customHeight="1" x14ac:dyDescent="0.25">
      <c r="A52" s="71"/>
      <c r="K52" s="71"/>
      <c r="L52" s="156">
        <v>400</v>
      </c>
      <c r="M52" s="161">
        <f t="shared" si="1"/>
        <v>29.761402958619485</v>
      </c>
      <c r="N52" s="162">
        <f t="shared" si="0"/>
        <v>228.72445975573635</v>
      </c>
      <c r="O52" s="163">
        <f t="shared" si="3"/>
        <v>30.552174682113467</v>
      </c>
      <c r="P52" s="164">
        <f t="shared" si="2"/>
        <v>236.10890260974841</v>
      </c>
      <c r="Q52" s="71"/>
    </row>
    <row r="53" spans="1:17" ht="20.100000000000001" customHeight="1" x14ac:dyDescent="0.25">
      <c r="A53" s="71"/>
      <c r="K53" s="71"/>
      <c r="L53" s="156">
        <v>500</v>
      </c>
      <c r="M53" s="161">
        <f t="shared" si="1"/>
        <v>29.624414167372436</v>
      </c>
      <c r="N53" s="162">
        <f t="shared" si="0"/>
        <v>284.32140996379269</v>
      </c>
      <c r="O53" s="163">
        <f t="shared" si="3"/>
        <v>30.328790158528371</v>
      </c>
      <c r="P53" s="164">
        <f t="shared" si="2"/>
        <v>292.51354099119328</v>
      </c>
      <c r="Q53" s="71"/>
    </row>
    <row r="54" spans="1:17" ht="23.1" customHeight="1" x14ac:dyDescent="0.25">
      <c r="A54" s="71"/>
      <c r="B54" s="71"/>
      <c r="C54" s="71"/>
      <c r="D54" s="71"/>
      <c r="E54" s="155"/>
      <c r="F54" s="155"/>
      <c r="G54" s="181" t="s">
        <v>17</v>
      </c>
      <c r="H54" s="182"/>
      <c r="I54" s="71"/>
      <c r="J54" s="71"/>
      <c r="K54" s="71"/>
      <c r="L54" s="156">
        <v>600</v>
      </c>
      <c r="M54" s="161">
        <f t="shared" si="1"/>
        <v>29.512774571893111</v>
      </c>
      <c r="N54" s="162">
        <f t="shared" si="0"/>
        <v>339.6402854221032</v>
      </c>
      <c r="O54" s="163">
        <f t="shared" si="3"/>
        <v>30.146994992063181</v>
      </c>
      <c r="P54" s="164">
        <f t="shared" si="2"/>
        <v>348.46564792545428</v>
      </c>
      <c r="Q54" s="71"/>
    </row>
    <row r="55" spans="1:17" ht="18.95" customHeight="1" x14ac:dyDescent="0.25">
      <c r="A55" s="71"/>
      <c r="B55" s="71"/>
      <c r="C55" s="71"/>
      <c r="D55" s="71"/>
      <c r="E55" s="179" t="s">
        <v>70</v>
      </c>
      <c r="F55" s="180"/>
      <c r="G55" s="151" t="s">
        <v>66</v>
      </c>
      <c r="H55" s="152" t="s">
        <v>67</v>
      </c>
      <c r="I55" s="71"/>
      <c r="J55" s="71"/>
      <c r="K55" s="71"/>
      <c r="L55" s="156">
        <v>700</v>
      </c>
      <c r="M55" s="161">
        <f t="shared" si="1"/>
        <v>29.418587855724269</v>
      </c>
      <c r="N55" s="162">
        <f t="shared" si="0"/>
        <v>394.72897943580114</v>
      </c>
      <c r="O55" s="163">
        <f t="shared" si="3"/>
        <v>29.993800816041858</v>
      </c>
      <c r="P55" s="164">
        <f t="shared" si="2"/>
        <v>404.04421164713057</v>
      </c>
      <c r="Q55" s="71"/>
    </row>
    <row r="56" spans="1:17" ht="21.95" customHeight="1" x14ac:dyDescent="0.25">
      <c r="A56" s="71"/>
      <c r="B56" s="71"/>
      <c r="C56" s="71"/>
      <c r="D56" s="71"/>
      <c r="E56" s="179" t="s">
        <v>65</v>
      </c>
      <c r="F56" s="180"/>
      <c r="G56" s="153">
        <v>30</v>
      </c>
      <c r="H56" s="154">
        <v>80</v>
      </c>
      <c r="I56" s="71"/>
      <c r="J56" s="71"/>
      <c r="K56" s="71"/>
      <c r="L56" s="71"/>
      <c r="M56" s="71"/>
      <c r="N56" s="71"/>
      <c r="O56" s="71"/>
      <c r="P56" s="71"/>
      <c r="Q56" s="71"/>
    </row>
    <row r="57" spans="1:17" ht="21.95" customHeight="1" x14ac:dyDescent="0.45">
      <c r="A57" s="71"/>
      <c r="B57" s="71"/>
      <c r="C57" s="71"/>
      <c r="D57" s="71"/>
      <c r="E57" s="179" t="s">
        <v>68</v>
      </c>
      <c r="F57" s="180"/>
      <c r="G57" s="153">
        <v>30</v>
      </c>
      <c r="H57" s="154">
        <v>130</v>
      </c>
      <c r="I57" s="71"/>
      <c r="J57" s="71"/>
      <c r="K57" s="71"/>
      <c r="L57" s="71"/>
      <c r="M57" s="136"/>
      <c r="N57" s="188"/>
      <c r="O57" s="189"/>
      <c r="P57" s="189"/>
      <c r="Q57" s="71"/>
    </row>
    <row r="58" spans="1:17" ht="21" customHeight="1" x14ac:dyDescent="0.45">
      <c r="A58" s="71"/>
      <c r="B58" s="71"/>
      <c r="C58" s="71"/>
      <c r="D58" s="71"/>
      <c r="E58" s="179" t="s">
        <v>69</v>
      </c>
      <c r="F58" s="180"/>
      <c r="G58" s="153">
        <v>30</v>
      </c>
      <c r="H58" s="154">
        <v>300</v>
      </c>
      <c r="I58" s="71"/>
      <c r="J58" s="71"/>
      <c r="K58" s="71"/>
      <c r="L58" s="71"/>
      <c r="M58" s="136"/>
      <c r="N58" s="136" t="s">
        <v>22</v>
      </c>
      <c r="O58" s="137"/>
      <c r="P58" s="71"/>
      <c r="Q58" s="71"/>
    </row>
    <row r="59" spans="1:17" ht="18.600000000000001" hidden="1" customHeight="1" x14ac:dyDescent="0.45">
      <c r="A59" s="144"/>
      <c r="B59" s="144"/>
      <c r="C59" s="144"/>
      <c r="D59" s="144"/>
      <c r="E59" s="150"/>
      <c r="F59" s="150"/>
      <c r="G59" s="144"/>
      <c r="H59" s="144"/>
      <c r="I59" s="144"/>
      <c r="J59" s="144"/>
      <c r="K59" s="144"/>
      <c r="L59" s="144"/>
      <c r="M59" s="144"/>
      <c r="N59" s="144"/>
      <c r="O59" s="145"/>
      <c r="P59" s="144"/>
      <c r="Q59" s="144"/>
    </row>
    <row r="60" spans="1:17" ht="14.45" hidden="1" customHeight="1" x14ac:dyDescent="0.25"/>
    <row r="61" spans="1:17" ht="18.600000000000001" hidden="1" customHeight="1" x14ac:dyDescent="0.3">
      <c r="B61" s="183" t="s">
        <v>39</v>
      </c>
      <c r="C61" s="184"/>
      <c r="D61" s="184"/>
      <c r="E61" s="184"/>
      <c r="F61" s="184"/>
      <c r="G61" s="184"/>
      <c r="H61" s="184"/>
      <c r="I61" s="185"/>
    </row>
    <row r="62" spans="1:17" ht="14.45" hidden="1" customHeight="1" x14ac:dyDescent="0.25">
      <c r="B62" t="s">
        <v>30</v>
      </c>
      <c r="C62">
        <f>IF(AND(B5&gt;=30,B5&lt;=80),-0.0014*(B5)+0.6656,0)</f>
        <v>0.62359999999999993</v>
      </c>
      <c r="D62"/>
      <c r="E62">
        <f>IF(AND(B5&gt;=30,B5&lt;=130),-0.0015*B5+0.6149,0)</f>
        <v>0.56989999999999996</v>
      </c>
      <c r="F62"/>
      <c r="G62">
        <f>IF(AND(B5&gt;=30,B5&lt;=300),-0.0016*B5+0.5546,0)</f>
        <v>0.50659999999999994</v>
      </c>
      <c r="H62"/>
      <c r="I62"/>
      <c r="J62"/>
      <c r="K62"/>
      <c r="L62"/>
      <c r="M62"/>
      <c r="N62"/>
      <c r="O62"/>
      <c r="P62"/>
    </row>
    <row r="63" spans="1:17" hidden="1" x14ac:dyDescent="0.25">
      <c r="B63" t="s">
        <v>31</v>
      </c>
      <c r="C63">
        <v>0.96</v>
      </c>
      <c r="D63"/>
      <c r="E63">
        <v>0.90500000000000003</v>
      </c>
      <c r="F63"/>
      <c r="G63">
        <v>0.85199999999999998</v>
      </c>
      <c r="H63"/>
      <c r="I63"/>
      <c r="J63"/>
      <c r="K63"/>
      <c r="L63"/>
      <c r="M63"/>
      <c r="N63"/>
      <c r="O63"/>
      <c r="P63"/>
    </row>
    <row r="64" spans="1:17" hidden="1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2:16" hidden="1" x14ac:dyDescent="0.25">
      <c r="B65" s="103" t="s">
        <v>29</v>
      </c>
      <c r="C65" s="103" t="s">
        <v>40</v>
      </c>
      <c r="D65" s="103"/>
      <c r="E65" s="103" t="s">
        <v>41</v>
      </c>
      <c r="F65" s="103"/>
      <c r="G65" s="103" t="s">
        <v>42</v>
      </c>
      <c r="H65"/>
      <c r="I65"/>
      <c r="J65"/>
      <c r="K65"/>
      <c r="L65"/>
      <c r="M65"/>
      <c r="N65"/>
      <c r="O65"/>
      <c r="P65"/>
    </row>
    <row r="66" spans="2:16" hidden="1" x14ac:dyDescent="0.25">
      <c r="B66" s="104">
        <v>40</v>
      </c>
      <c r="C66" s="102">
        <v>0.61209999999999998</v>
      </c>
      <c r="D66"/>
      <c r="E66" s="102">
        <v>0.56240000000000001</v>
      </c>
      <c r="F66"/>
      <c r="G66" s="102">
        <v>0.49959999999999999</v>
      </c>
      <c r="H66"/>
      <c r="I66"/>
      <c r="J66"/>
      <c r="K66"/>
      <c r="L66"/>
      <c r="M66"/>
      <c r="N66"/>
      <c r="O66"/>
      <c r="P66"/>
    </row>
    <row r="67" spans="2:16" hidden="1" x14ac:dyDescent="0.25">
      <c r="B67" s="104">
        <v>50</v>
      </c>
      <c r="C67" s="102">
        <v>0.59660000000000002</v>
      </c>
      <c r="D67"/>
      <c r="E67" s="102">
        <v>0.5413</v>
      </c>
      <c r="F67"/>
      <c r="G67" s="102">
        <v>0.4773</v>
      </c>
      <c r="H67"/>
      <c r="I67"/>
      <c r="J67"/>
      <c r="K67"/>
      <c r="L67"/>
      <c r="M67"/>
      <c r="N67"/>
      <c r="O67"/>
      <c r="P67"/>
    </row>
    <row r="68" spans="2:16" hidden="1" x14ac:dyDescent="0.25">
      <c r="B68" s="104">
        <v>60</v>
      </c>
      <c r="C68" s="102">
        <v>0.58169999999999999</v>
      </c>
      <c r="D68"/>
      <c r="E68" s="102">
        <v>0.52239999999999998</v>
      </c>
      <c r="F68"/>
      <c r="G68" s="102">
        <v>0.45729999999999998</v>
      </c>
      <c r="H68"/>
      <c r="I68"/>
      <c r="J68"/>
      <c r="K68"/>
      <c r="L68"/>
      <c r="M68"/>
      <c r="N68"/>
      <c r="O68"/>
      <c r="P68"/>
    </row>
    <row r="69" spans="2:16" hidden="1" x14ac:dyDescent="0.25">
      <c r="B69" s="104">
        <v>70</v>
      </c>
      <c r="C69" s="102">
        <v>0.56940000000000002</v>
      </c>
      <c r="D69"/>
      <c r="E69" s="102">
        <v>0.50360000000000005</v>
      </c>
      <c r="F69"/>
      <c r="G69" s="102">
        <v>0.43890000000000001</v>
      </c>
      <c r="H69"/>
      <c r="I69"/>
      <c r="J69"/>
      <c r="K69"/>
      <c r="L69"/>
      <c r="M69"/>
      <c r="N69"/>
      <c r="O69"/>
      <c r="P69"/>
    </row>
    <row r="70" spans="2:16" hidden="1" x14ac:dyDescent="0.25">
      <c r="B70" s="104">
        <v>75</v>
      </c>
      <c r="C70" s="102">
        <v>0.5645</v>
      </c>
      <c r="D70"/>
      <c r="E70" s="102">
        <v>0.49509999999999998</v>
      </c>
      <c r="F70"/>
      <c r="G70" s="102">
        <v>0.43020000000000003</v>
      </c>
      <c r="H70"/>
      <c r="I70"/>
      <c r="J70"/>
      <c r="K70"/>
      <c r="L70"/>
      <c r="M70"/>
      <c r="N70"/>
      <c r="O70"/>
      <c r="P70"/>
    </row>
    <row r="71" spans="2:16" hidden="1" x14ac:dyDescent="0.25">
      <c r="B71" s="104">
        <v>80</v>
      </c>
      <c r="C71"/>
      <c r="D71"/>
      <c r="E71" s="102">
        <v>0.48720000000000002</v>
      </c>
      <c r="F71"/>
      <c r="G71" s="102">
        <v>0.4219</v>
      </c>
      <c r="H71"/>
      <c r="I71"/>
      <c r="J71"/>
      <c r="K71"/>
      <c r="L71"/>
      <c r="M71"/>
      <c r="N71"/>
      <c r="O71"/>
      <c r="P71"/>
    </row>
    <row r="72" spans="2:16" hidden="1" x14ac:dyDescent="0.25">
      <c r="B72" s="104">
        <v>90</v>
      </c>
      <c r="C72"/>
      <c r="D72"/>
      <c r="E72" s="102">
        <v>0.47220000000000001</v>
      </c>
      <c r="F72"/>
      <c r="G72" s="102">
        <v>0.40539999999999998</v>
      </c>
      <c r="H72"/>
      <c r="I72"/>
      <c r="J72"/>
      <c r="K72"/>
      <c r="L72"/>
      <c r="M72"/>
      <c r="N72"/>
      <c r="O72"/>
      <c r="P72"/>
    </row>
    <row r="73" spans="2:16" hidden="1" x14ac:dyDescent="0.25">
      <c r="B73" s="104">
        <v>100</v>
      </c>
      <c r="C73"/>
      <c r="D73"/>
      <c r="E73" s="102">
        <v>0.45810000000000001</v>
      </c>
      <c r="F73"/>
      <c r="G73" s="102">
        <v>0.3906</v>
      </c>
      <c r="H73"/>
      <c r="I73"/>
      <c r="J73"/>
      <c r="K73"/>
      <c r="L73"/>
      <c r="M73"/>
      <c r="N73"/>
      <c r="O73"/>
      <c r="P73"/>
    </row>
    <row r="74" spans="2:16" hidden="1" x14ac:dyDescent="0.25">
      <c r="B74" s="104">
        <v>110</v>
      </c>
      <c r="C74"/>
      <c r="D74"/>
      <c r="E74" s="102">
        <v>0.4451</v>
      </c>
      <c r="F74"/>
      <c r="G74" s="102">
        <v>0.37819999999999998</v>
      </c>
      <c r="H74"/>
      <c r="I74"/>
      <c r="J74"/>
      <c r="K74"/>
      <c r="L74"/>
      <c r="M74"/>
      <c r="N74"/>
      <c r="O74"/>
      <c r="P74"/>
    </row>
    <row r="75" spans="2:16" hidden="1" x14ac:dyDescent="0.25">
      <c r="B75" s="104">
        <v>120</v>
      </c>
      <c r="C75"/>
      <c r="D75"/>
      <c r="E75" s="102">
        <v>0.43340000000000001</v>
      </c>
      <c r="F75"/>
      <c r="G75" s="102">
        <v>0.36559999999999998</v>
      </c>
      <c r="H75"/>
      <c r="I75"/>
      <c r="J75"/>
      <c r="K75"/>
      <c r="L75"/>
      <c r="M75"/>
      <c r="N75"/>
      <c r="O75"/>
      <c r="P75"/>
    </row>
    <row r="76" spans="2:16" hidden="1" x14ac:dyDescent="0.25">
      <c r="B76" s="104">
        <v>130</v>
      </c>
      <c r="C76"/>
      <c r="D76"/>
      <c r="E76" s="102">
        <v>0.42370000000000002</v>
      </c>
      <c r="F76"/>
      <c r="G76" s="102">
        <v>0.35370000000000001</v>
      </c>
      <c r="H76"/>
      <c r="I76"/>
      <c r="J76"/>
      <c r="K76"/>
      <c r="L76"/>
      <c r="M76"/>
      <c r="N76"/>
      <c r="O76"/>
      <c r="P76"/>
    </row>
    <row r="77" spans="2:16" hidden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2:16" hidden="1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2:16" hidden="1" x14ac:dyDescent="0.25">
      <c r="B79" s="112" t="s">
        <v>30</v>
      </c>
      <c r="C79" s="112">
        <f>IF(C5&lt;=20,C62,IF(AND(C5&gt;20,C5&lt;=45),E62,G62))</f>
        <v>0.62359999999999993</v>
      </c>
      <c r="E79" s="110" t="s">
        <v>32</v>
      </c>
      <c r="F79" s="111">
        <v>101.325</v>
      </c>
      <c r="G79" s="110" t="s">
        <v>33</v>
      </c>
      <c r="I79"/>
      <c r="J79"/>
      <c r="K79"/>
      <c r="L79"/>
      <c r="M79"/>
      <c r="N79"/>
      <c r="O79"/>
      <c r="P79"/>
    </row>
    <row r="80" spans="2:16" hidden="1" x14ac:dyDescent="0.25">
      <c r="B80" s="106" t="s">
        <v>31</v>
      </c>
      <c r="C80" s="106">
        <f>IF(C5&lt;=20,C63,IF(AND(C5&gt;20,C5&lt;=45),E63,G63))</f>
        <v>0.96</v>
      </c>
    </row>
    <row r="81" spans="2:22" hidden="1" x14ac:dyDescent="0.25"/>
    <row r="82" spans="2:22" ht="18.75" hidden="1" x14ac:dyDescent="0.3">
      <c r="B82" s="183" t="s">
        <v>43</v>
      </c>
      <c r="C82" s="184"/>
      <c r="D82" s="184"/>
      <c r="E82" s="184"/>
      <c r="F82" s="184"/>
      <c r="G82" s="184"/>
      <c r="H82" s="184"/>
      <c r="I82" s="185"/>
    </row>
    <row r="83" spans="2:22" hidden="1" x14ac:dyDescent="0.25">
      <c r="B83" s="105" t="s">
        <v>34</v>
      </c>
      <c r="C83" s="109" t="s">
        <v>35</v>
      </c>
    </row>
    <row r="84" spans="2:22" hidden="1" x14ac:dyDescent="0.25">
      <c r="B84" s="107">
        <v>0</v>
      </c>
      <c r="C84" s="108">
        <f t="shared" ref="C84:C91" si="4">$C$79*$F$79*(B84/$F$79)^$C$80</f>
        <v>0</v>
      </c>
    </row>
    <row r="85" spans="2:22" hidden="1" x14ac:dyDescent="0.25">
      <c r="B85" s="107">
        <v>15</v>
      </c>
      <c r="C85" s="108">
        <f t="shared" si="4"/>
        <v>10.09676805577346</v>
      </c>
    </row>
    <row r="86" spans="2:22" hidden="1" x14ac:dyDescent="0.25">
      <c r="B86" s="107">
        <v>25</v>
      </c>
      <c r="C86" s="108">
        <f t="shared" si="4"/>
        <v>16.487590004388643</v>
      </c>
    </row>
    <row r="87" spans="2:22" hidden="1" x14ac:dyDescent="0.25">
      <c r="B87" s="107">
        <v>75</v>
      </c>
      <c r="C87" s="108">
        <f t="shared" si="4"/>
        <v>47.336220999165299</v>
      </c>
    </row>
    <row r="88" spans="2:22" hidden="1" x14ac:dyDescent="0.25">
      <c r="B88" s="107">
        <v>150</v>
      </c>
      <c r="C88" s="108">
        <f t="shared" si="4"/>
        <v>92.083619093278898</v>
      </c>
    </row>
    <row r="89" spans="2:22" hidden="1" x14ac:dyDescent="0.25">
      <c r="B89" s="107">
        <v>200</v>
      </c>
      <c r="C89" s="108">
        <f t="shared" si="4"/>
        <v>121.37341368483649</v>
      </c>
    </row>
    <row r="90" spans="2:22" hidden="1" x14ac:dyDescent="0.25">
      <c r="B90" s="107">
        <v>300</v>
      </c>
      <c r="C90" s="108">
        <f t="shared" si="4"/>
        <v>179.13117537341222</v>
      </c>
    </row>
    <row r="91" spans="2:22" hidden="1" x14ac:dyDescent="0.25">
      <c r="B91" s="107">
        <v>400</v>
      </c>
      <c r="C91" s="108">
        <f t="shared" si="4"/>
        <v>236.10890260974841</v>
      </c>
    </row>
    <row r="92" spans="2:22" hidden="1" x14ac:dyDescent="0.25">
      <c r="B92" s="107">
        <v>500</v>
      </c>
      <c r="C92" s="108">
        <f>$C$79*$F$79*(B92/$F$79)^$C$80</f>
        <v>292.51354099119328</v>
      </c>
    </row>
    <row r="93" spans="2:22" hidden="1" x14ac:dyDescent="0.25">
      <c r="B93" s="107">
        <v>600</v>
      </c>
      <c r="C93" s="108">
        <f>$C$79*$F$79*(B93/$F$79)^$C$80</f>
        <v>348.46564792545428</v>
      </c>
    </row>
    <row r="94" spans="2:22" hidden="1" x14ac:dyDescent="0.25">
      <c r="B94" s="107">
        <v>700</v>
      </c>
      <c r="C94" s="108">
        <f>$C$79*$F$79*(B94/$F$79)^$C$80</f>
        <v>404.04421164713057</v>
      </c>
    </row>
    <row r="95" spans="2:22" hidden="1" x14ac:dyDescent="0.25">
      <c r="N95" s="62">
        <f>0.5*(0.0023+0.004)</f>
        <v>3.15E-3</v>
      </c>
    </row>
    <row r="96" spans="2:22" ht="15.6" hidden="1" customHeight="1" x14ac:dyDescent="0.25">
      <c r="B96" s="125"/>
      <c r="C96"/>
      <c r="D96"/>
      <c r="E96"/>
      <c r="F96"/>
      <c r="G96"/>
      <c r="H96"/>
      <c r="I96"/>
      <c r="J96"/>
      <c r="K96" s="125"/>
      <c r="L96"/>
      <c r="M96"/>
      <c r="N96"/>
      <c r="O96"/>
      <c r="P96"/>
      <c r="Q96"/>
      <c r="R96"/>
      <c r="S96"/>
      <c r="T96"/>
      <c r="U96"/>
      <c r="V96"/>
    </row>
    <row r="97" spans="2:22" hidden="1" x14ac:dyDescent="0.25">
      <c r="B97" s="125"/>
      <c r="C97"/>
      <c r="D97"/>
      <c r="E97"/>
      <c r="F97"/>
      <c r="G97"/>
      <c r="H97"/>
      <c r="I97"/>
      <c r="J97"/>
      <c r="K97" s="125"/>
      <c r="L97"/>
      <c r="M97"/>
      <c r="N97"/>
      <c r="O97"/>
      <c r="P97"/>
      <c r="Q97"/>
      <c r="R97"/>
      <c r="S97"/>
      <c r="T97"/>
      <c r="U97"/>
      <c r="V97"/>
    </row>
    <row r="98" spans="2:22" hidden="1" x14ac:dyDescent="0.25">
      <c r="B98" s="125"/>
      <c r="C98"/>
      <c r="D98"/>
      <c r="E98"/>
      <c r="F98"/>
      <c r="G98"/>
      <c r="H98"/>
      <c r="I98"/>
      <c r="J98"/>
      <c r="K98" s="125"/>
      <c r="L98"/>
      <c r="M98"/>
      <c r="N98"/>
      <c r="O98"/>
      <c r="P98"/>
      <c r="Q98"/>
      <c r="R98"/>
      <c r="S98"/>
      <c r="T98"/>
      <c r="U98"/>
      <c r="V98"/>
    </row>
    <row r="99" spans="2:22" ht="18.75" hidden="1" x14ac:dyDescent="0.3">
      <c r="B99" s="183" t="s">
        <v>52</v>
      </c>
      <c r="C99" s="184"/>
      <c r="D99" s="184"/>
      <c r="E99" s="184"/>
      <c r="F99" s="184"/>
      <c r="G99" s="184"/>
      <c r="H99" s="184"/>
      <c r="I99" s="185"/>
      <c r="J99"/>
      <c r="K99" s="125"/>
      <c r="L99"/>
      <c r="M99"/>
      <c r="N99"/>
      <c r="O99"/>
      <c r="P99"/>
      <c r="Q99"/>
      <c r="R99"/>
      <c r="S99"/>
      <c r="T99"/>
      <c r="U99"/>
      <c r="V99"/>
    </row>
    <row r="100" spans="2:22" hidden="1" x14ac:dyDescent="0.25">
      <c r="B100" s="112" t="s">
        <v>30</v>
      </c>
      <c r="C100">
        <f>IF(AND(B5&gt;=30,B5&lt;=80),3*10^-5*(B5)^2-0.008*B5+0.8047,0)</f>
        <v>0.5917</v>
      </c>
      <c r="D100"/>
      <c r="E100">
        <f>IF(AND(B5&gt;=30,B5&lt;=130),3*10^-5*(B5)^2-0.0076*B5+0.7448,0)</f>
        <v>0.54380000000000006</v>
      </c>
      <c r="F100"/>
      <c r="H100">
        <f>IF(AND(B5&gt;=30,B5&lt;=300),3*10^-5*(B5)^2-0.0077*B5+0.6352,0)</f>
        <v>0.43119999999999997</v>
      </c>
      <c r="I100"/>
      <c r="J100"/>
      <c r="K100" s="125"/>
      <c r="L100"/>
      <c r="M100"/>
      <c r="N100"/>
      <c r="O100"/>
      <c r="P100"/>
      <c r="Q100"/>
      <c r="R100"/>
      <c r="S100"/>
      <c r="T100"/>
      <c r="U100"/>
      <c r="V100"/>
    </row>
    <row r="101" spans="2:22" hidden="1" x14ac:dyDescent="0.25">
      <c r="B101" s="132" t="s">
        <v>31</v>
      </c>
      <c r="C101">
        <f>IF(AND(B5&gt;=30,B5&lt;=80),2*10^-5*(B5)^2-0.0023*B5+1.0261,0)</f>
        <v>0.97509999999999997</v>
      </c>
      <c r="D101"/>
      <c r="E101">
        <f>IF(AND(B5&gt;=30,B5&lt;=130),2*10^-5*(B5)^2-0.005*B5+0.997,0)</f>
        <v>0.86499999999999999</v>
      </c>
      <c r="F101"/>
      <c r="H101">
        <f>IF(AND(B5&gt;=30,B5&lt;300),3*10^-5*(B5)^2-0.0059*B5+1.0792,0)</f>
        <v>0.92919999999999991</v>
      </c>
      <c r="I101"/>
      <c r="J101"/>
      <c r="K101" s="125"/>
      <c r="L101"/>
      <c r="M101"/>
      <c r="N101"/>
      <c r="O101"/>
      <c r="P101"/>
      <c r="Q101"/>
      <c r="R101"/>
      <c r="S101"/>
      <c r="T101"/>
      <c r="U101"/>
      <c r="V101"/>
    </row>
    <row r="102" spans="2:22" hidden="1" x14ac:dyDescent="0.25">
      <c r="B102" s="125"/>
      <c r="C102"/>
      <c r="D102"/>
      <c r="E102"/>
      <c r="F102"/>
      <c r="G102"/>
      <c r="H102"/>
      <c r="I102"/>
      <c r="J102"/>
      <c r="K102" s="125"/>
      <c r="L102"/>
      <c r="M102"/>
      <c r="N102"/>
      <c r="O102"/>
      <c r="P102"/>
      <c r="Q102"/>
      <c r="R102"/>
      <c r="S102"/>
      <c r="T102"/>
      <c r="U102"/>
      <c r="V102"/>
    </row>
    <row r="103" spans="2:22" hidden="1" x14ac:dyDescent="0.25">
      <c r="B103" s="125"/>
      <c r="C103"/>
      <c r="D103"/>
      <c r="E103"/>
      <c r="F103"/>
      <c r="G103"/>
      <c r="H103"/>
      <c r="I103"/>
      <c r="J103"/>
      <c r="K103" s="125"/>
      <c r="L103"/>
      <c r="M103"/>
      <c r="N103"/>
      <c r="O103"/>
      <c r="P103"/>
      <c r="Q103"/>
      <c r="R103"/>
      <c r="S103"/>
      <c r="T103"/>
      <c r="U103"/>
      <c r="V103"/>
    </row>
    <row r="104" spans="2:22" hidden="1" x14ac:dyDescent="0.25">
      <c r="B104" s="186" t="s">
        <v>48</v>
      </c>
      <c r="C104" s="187"/>
      <c r="D104" s="126"/>
      <c r="E104" s="187" t="s">
        <v>49</v>
      </c>
      <c r="F104" s="187"/>
      <c r="G104" s="126"/>
      <c r="H104" s="187" t="s">
        <v>50</v>
      </c>
      <c r="I104" s="187"/>
      <c r="J104"/>
      <c r="K104" s="125"/>
      <c r="L104"/>
      <c r="M104"/>
      <c r="N104"/>
      <c r="O104"/>
      <c r="P104"/>
      <c r="Q104"/>
      <c r="R104"/>
      <c r="S104"/>
      <c r="T104"/>
      <c r="U104"/>
      <c r="V104"/>
    </row>
    <row r="105" spans="2:22" hidden="1" x14ac:dyDescent="0.25">
      <c r="B105" s="127" t="s">
        <v>30</v>
      </c>
      <c r="C105" s="128" t="s">
        <v>31</v>
      </c>
      <c r="D105" s="128"/>
      <c r="E105" s="128" t="s">
        <v>30</v>
      </c>
      <c r="F105" s="128" t="s">
        <v>31</v>
      </c>
      <c r="G105" s="128"/>
      <c r="H105" s="128" t="s">
        <v>30</v>
      </c>
      <c r="I105" s="128" t="s">
        <v>31</v>
      </c>
      <c r="J105"/>
      <c r="K105" s="125"/>
      <c r="L105"/>
      <c r="M105"/>
      <c r="N105"/>
      <c r="O105"/>
      <c r="P105"/>
      <c r="Q105"/>
      <c r="R105"/>
      <c r="S105"/>
      <c r="T105"/>
      <c r="U105"/>
      <c r="V105"/>
    </row>
    <row r="106" spans="2:22" hidden="1" x14ac:dyDescent="0.25">
      <c r="B106">
        <v>0.54369999999999996</v>
      </c>
      <c r="C106" s="125">
        <v>0.95940000000000003</v>
      </c>
      <c r="D106" s="129"/>
      <c r="E106">
        <v>0.4657</v>
      </c>
      <c r="F106" s="125">
        <v>0.87060000000000004</v>
      </c>
      <c r="G106" s="129"/>
      <c r="H106">
        <v>0.37519999999999998</v>
      </c>
      <c r="I106" s="125">
        <v>0.87890000000000001</v>
      </c>
      <c r="J106"/>
      <c r="K106" s="125"/>
      <c r="L106"/>
      <c r="M106"/>
      <c r="N106"/>
      <c r="O106"/>
      <c r="P106"/>
      <c r="Q106"/>
      <c r="R106"/>
      <c r="S106"/>
      <c r="T106"/>
      <c r="U106"/>
      <c r="V106"/>
    </row>
    <row r="107" spans="2:22" hidden="1" x14ac:dyDescent="0.25">
      <c r="B107">
        <v>0.49070000000000003</v>
      </c>
      <c r="C107" s="125">
        <v>0.95189999999999997</v>
      </c>
      <c r="D107" s="129"/>
      <c r="E107">
        <v>0.4199</v>
      </c>
      <c r="F107" s="125">
        <v>0.85899999999999999</v>
      </c>
      <c r="G107" s="129"/>
      <c r="H107">
        <v>0.32700000000000001</v>
      </c>
      <c r="I107" s="125">
        <v>0.8609</v>
      </c>
      <c r="J107"/>
      <c r="K107" s="125"/>
      <c r="L107"/>
      <c r="M107"/>
      <c r="N107"/>
      <c r="O107"/>
      <c r="P107"/>
      <c r="Q107"/>
      <c r="R107"/>
      <c r="S107"/>
      <c r="T107"/>
      <c r="U107"/>
      <c r="V107"/>
    </row>
    <row r="108" spans="2:22" hidden="1" x14ac:dyDescent="0.25">
      <c r="B108">
        <v>0.44409999999999999</v>
      </c>
      <c r="C108" s="125">
        <v>0.94640000000000002</v>
      </c>
      <c r="D108" s="129"/>
      <c r="E108">
        <v>0.374</v>
      </c>
      <c r="F108" s="125">
        <v>0.84770000000000001</v>
      </c>
      <c r="G108" s="129"/>
      <c r="H108">
        <v>0.28349999999999997</v>
      </c>
      <c r="I108" s="125">
        <v>0.84040000000000004</v>
      </c>
      <c r="J108"/>
      <c r="K108" s="125"/>
      <c r="L108"/>
      <c r="M108"/>
      <c r="N108"/>
      <c r="O108"/>
      <c r="P108"/>
      <c r="Q108"/>
      <c r="R108"/>
      <c r="S108"/>
      <c r="T108"/>
      <c r="U108"/>
      <c r="V108"/>
    </row>
    <row r="109" spans="2:22" hidden="1" x14ac:dyDescent="0.25">
      <c r="B109">
        <v>0.40229999999999999</v>
      </c>
      <c r="C109" s="125">
        <v>0.9446</v>
      </c>
      <c r="D109" s="129"/>
      <c r="E109">
        <v>0.32829999999999998</v>
      </c>
      <c r="F109" s="125">
        <v>0.83950000000000002</v>
      </c>
      <c r="G109" s="129"/>
      <c r="H109">
        <v>0.2455</v>
      </c>
      <c r="I109" s="125">
        <v>0.81669999999999998</v>
      </c>
      <c r="J109"/>
      <c r="K109" s="125"/>
      <c r="L109"/>
      <c r="M109"/>
      <c r="N109"/>
      <c r="O109"/>
      <c r="P109"/>
      <c r="Q109"/>
      <c r="R109"/>
      <c r="S109"/>
      <c r="T109"/>
      <c r="U109"/>
      <c r="V109"/>
    </row>
    <row r="110" spans="2:22" hidden="1" x14ac:dyDescent="0.25">
      <c r="B110">
        <v>0.38250000000000001</v>
      </c>
      <c r="C110" s="125">
        <v>0.94599999999999995</v>
      </c>
      <c r="D110" s="129"/>
      <c r="E110">
        <v>0.30620000000000003</v>
      </c>
      <c r="F110" s="125">
        <v>0.83730000000000004</v>
      </c>
      <c r="G110" s="129"/>
      <c r="H110">
        <v>0.22819999999999999</v>
      </c>
      <c r="I110" s="125">
        <v>0.80569999999999997</v>
      </c>
      <c r="J110"/>
      <c r="K110" s="125"/>
      <c r="L110"/>
      <c r="M110"/>
      <c r="N110"/>
      <c r="O110"/>
      <c r="P110"/>
      <c r="Q110"/>
      <c r="R110"/>
      <c r="S110"/>
      <c r="T110"/>
      <c r="U110"/>
      <c r="V110"/>
    </row>
    <row r="111" spans="2:22" hidden="1" x14ac:dyDescent="0.25">
      <c r="B111" s="130" t="s">
        <v>51</v>
      </c>
      <c r="C111" s="130" t="s">
        <v>51</v>
      </c>
      <c r="D111" s="130"/>
      <c r="E111">
        <v>0.28549999999999998</v>
      </c>
      <c r="F111" s="125">
        <v>0.83499999999999996</v>
      </c>
      <c r="G111" s="129"/>
      <c r="H111">
        <v>0.2132</v>
      </c>
      <c r="I111" s="125">
        <v>0.79210000000000003</v>
      </c>
      <c r="J111"/>
      <c r="K111" s="125"/>
      <c r="L111"/>
      <c r="M111"/>
      <c r="N111"/>
      <c r="O111"/>
      <c r="P111"/>
      <c r="Q111"/>
      <c r="R111"/>
      <c r="S111"/>
      <c r="T111"/>
      <c r="U111"/>
      <c r="V111"/>
    </row>
    <row r="112" spans="2:22" hidden="1" x14ac:dyDescent="0.25">
      <c r="B112" s="130" t="s">
        <v>51</v>
      </c>
      <c r="C112" s="130" t="s">
        <v>51</v>
      </c>
      <c r="D112" s="130"/>
      <c r="E112">
        <v>0.24779999999999999</v>
      </c>
      <c r="F112" s="125">
        <v>0.83189999999999997</v>
      </c>
      <c r="G112" s="129"/>
      <c r="H112">
        <v>0.18659999999999999</v>
      </c>
      <c r="I112" s="125">
        <v>0.77249999999999996</v>
      </c>
      <c r="J112"/>
      <c r="K112" s="125"/>
      <c r="L112"/>
      <c r="M112"/>
      <c r="N112"/>
      <c r="O112"/>
      <c r="P112"/>
      <c r="Q112"/>
      <c r="R112"/>
      <c r="S112"/>
      <c r="T112"/>
      <c r="U112"/>
      <c r="V112"/>
    </row>
    <row r="113" spans="2:22" hidden="1" x14ac:dyDescent="0.25">
      <c r="B113" s="130" t="s">
        <v>51</v>
      </c>
      <c r="C113" s="130" t="s">
        <v>51</v>
      </c>
      <c r="D113" s="130"/>
      <c r="E113">
        <v>0.2155</v>
      </c>
      <c r="F113" s="125">
        <v>0.83760000000000001</v>
      </c>
      <c r="G113" s="129"/>
      <c r="H113">
        <v>0.16619999999999999</v>
      </c>
      <c r="I113" s="125">
        <v>0.76500000000000001</v>
      </c>
      <c r="J113"/>
      <c r="K113" s="125"/>
      <c r="L113"/>
      <c r="M113"/>
      <c r="N113"/>
      <c r="O113"/>
      <c r="P113"/>
      <c r="Q113"/>
      <c r="R113"/>
      <c r="S113"/>
      <c r="T113"/>
      <c r="U113"/>
      <c r="V113"/>
    </row>
    <row r="114" spans="2:22" hidden="1" x14ac:dyDescent="0.25">
      <c r="B114" s="130" t="s">
        <v>51</v>
      </c>
      <c r="C114" s="130" t="s">
        <v>51</v>
      </c>
      <c r="D114" s="130"/>
      <c r="E114">
        <v>0.1913</v>
      </c>
      <c r="F114" s="125">
        <v>0.84970000000000001</v>
      </c>
      <c r="G114" s="129"/>
      <c r="H114">
        <v>0.15390000000000001</v>
      </c>
      <c r="I114" s="125">
        <v>0.77300000000000002</v>
      </c>
      <c r="J114"/>
      <c r="K114" s="125"/>
      <c r="L114"/>
      <c r="M114"/>
      <c r="N114"/>
      <c r="O114"/>
      <c r="P114"/>
      <c r="Q114"/>
      <c r="R114"/>
      <c r="S114"/>
      <c r="T114"/>
      <c r="U114"/>
      <c r="V114"/>
    </row>
    <row r="115" spans="2:22" hidden="1" x14ac:dyDescent="0.25">
      <c r="B115" s="130" t="s">
        <v>51</v>
      </c>
      <c r="C115" s="130" t="s">
        <v>51</v>
      </c>
      <c r="D115" s="130"/>
      <c r="E115">
        <v>0.1769</v>
      </c>
      <c r="F115" s="125">
        <v>0.87019999999999997</v>
      </c>
      <c r="G115" s="129"/>
      <c r="H115">
        <v>0.14699999999999999</v>
      </c>
      <c r="I115" s="125">
        <v>0.79559999999999997</v>
      </c>
      <c r="J115"/>
      <c r="K115" s="125"/>
      <c r="L115"/>
      <c r="M115"/>
      <c r="N115"/>
      <c r="O115"/>
      <c r="P115"/>
      <c r="Q115"/>
      <c r="R115"/>
      <c r="S115"/>
      <c r="T115"/>
      <c r="U115"/>
      <c r="V115"/>
    </row>
    <row r="116" spans="2:22" hidden="1" x14ac:dyDescent="0.25">
      <c r="B116" s="131" t="s">
        <v>51</v>
      </c>
      <c r="C116" s="131" t="s">
        <v>51</v>
      </c>
      <c r="D116" s="131"/>
      <c r="E116">
        <v>0.1734</v>
      </c>
      <c r="F116" s="125">
        <v>0.89670000000000005</v>
      </c>
      <c r="G116" s="128"/>
      <c r="H116">
        <v>0.14399999999999999</v>
      </c>
      <c r="I116" s="125">
        <v>0.80059999999999998</v>
      </c>
      <c r="J116"/>
      <c r="K116" s="125"/>
      <c r="L116"/>
      <c r="M116"/>
      <c r="N116"/>
      <c r="O116"/>
      <c r="P116"/>
      <c r="Q116"/>
      <c r="R116"/>
      <c r="S116"/>
      <c r="T116"/>
      <c r="U116"/>
      <c r="V116"/>
    </row>
    <row r="117" spans="2:22" hidden="1" x14ac:dyDescent="0.25">
      <c r="B117" s="125"/>
      <c r="C117"/>
      <c r="D117"/>
      <c r="E117"/>
      <c r="F117"/>
      <c r="G117"/>
      <c r="H117"/>
      <c r="I117"/>
      <c r="J117"/>
      <c r="K117" s="125"/>
      <c r="L117"/>
      <c r="M117"/>
      <c r="N117"/>
      <c r="O117"/>
      <c r="P117"/>
      <c r="Q117"/>
      <c r="R117"/>
      <c r="S117"/>
      <c r="T117"/>
      <c r="U117"/>
      <c r="V117"/>
    </row>
    <row r="118" spans="2:22" hidden="1" x14ac:dyDescent="0.25">
      <c r="B118" s="125">
        <f>AVERAGE(B106:B116)</f>
        <v>0.45265999999999995</v>
      </c>
      <c r="C118" s="125">
        <f t="shared" ref="C118:I118" si="5">AVERAGE(C106:C116)</f>
        <v>0.94965999999999995</v>
      </c>
      <c r="D118" s="125"/>
      <c r="E118" s="125">
        <f t="shared" si="5"/>
        <v>0.28949999999999992</v>
      </c>
      <c r="F118" s="125">
        <f t="shared" si="5"/>
        <v>0.8522909090909091</v>
      </c>
      <c r="G118" s="125"/>
      <c r="H118" s="125">
        <f t="shared" si="5"/>
        <v>0.22457272727272726</v>
      </c>
      <c r="I118" s="125">
        <f t="shared" si="5"/>
        <v>0.80921818181818173</v>
      </c>
      <c r="J118"/>
      <c r="K118" s="125"/>
      <c r="L118"/>
      <c r="M118"/>
      <c r="N118"/>
      <c r="O118"/>
      <c r="P118"/>
      <c r="Q118"/>
      <c r="R118"/>
      <c r="S118"/>
      <c r="T118"/>
      <c r="U118"/>
      <c r="V118"/>
    </row>
    <row r="119" spans="2:22" hidden="1" x14ac:dyDescent="0.25">
      <c r="B119" s="125"/>
      <c r="C119"/>
      <c r="D119"/>
      <c r="E119"/>
      <c r="F119"/>
      <c r="G119"/>
      <c r="H119"/>
      <c r="I119"/>
      <c r="J119"/>
      <c r="K119" s="125"/>
      <c r="L119"/>
      <c r="M119"/>
      <c r="N119"/>
      <c r="O119"/>
      <c r="P119"/>
      <c r="Q119"/>
      <c r="R119"/>
      <c r="S119"/>
      <c r="T119"/>
      <c r="U119"/>
      <c r="V119"/>
    </row>
    <row r="120" spans="2:22" hidden="1" x14ac:dyDescent="0.25">
      <c r="B120" s="125"/>
      <c r="C120"/>
      <c r="D120"/>
      <c r="E120"/>
      <c r="F120"/>
      <c r="G120"/>
      <c r="H120"/>
      <c r="I120"/>
      <c r="J120"/>
      <c r="K120" s="125"/>
      <c r="L120"/>
      <c r="M120"/>
      <c r="N120"/>
      <c r="O120"/>
      <c r="P120"/>
      <c r="Q120"/>
      <c r="R120"/>
      <c r="S120"/>
      <c r="T120"/>
      <c r="U120"/>
      <c r="V120"/>
    </row>
    <row r="121" spans="2:22" hidden="1" x14ac:dyDescent="0.25">
      <c r="B121" s="125"/>
      <c r="C121"/>
      <c r="D121"/>
      <c r="E121">
        <f>AVERAGE(E114:E116)</f>
        <v>0.18053333333333332</v>
      </c>
      <c r="F121"/>
      <c r="G121"/>
      <c r="H121">
        <f>AVERAGE(H114:H116)</f>
        <v>0.14829999999999999</v>
      </c>
      <c r="I121"/>
      <c r="J121"/>
      <c r="K121" s="125"/>
      <c r="L121"/>
      <c r="M121"/>
      <c r="N121"/>
      <c r="O121"/>
      <c r="P121"/>
      <c r="Q121"/>
      <c r="R121"/>
      <c r="S121"/>
      <c r="T121"/>
      <c r="U121"/>
      <c r="V121"/>
    </row>
    <row r="122" spans="2:22" hidden="1" x14ac:dyDescent="0.25">
      <c r="B122"/>
      <c r="C122"/>
      <c r="D122"/>
      <c r="E122"/>
      <c r="F122"/>
      <c r="G122"/>
      <c r="H122"/>
      <c r="I122"/>
      <c r="J122"/>
      <c r="K122" s="125"/>
      <c r="L122"/>
      <c r="M122"/>
      <c r="N122"/>
      <c r="O122"/>
      <c r="P122"/>
      <c r="Q122"/>
      <c r="R122"/>
      <c r="S122"/>
      <c r="T122"/>
      <c r="U122"/>
      <c r="V122"/>
    </row>
    <row r="123" spans="2:22" hidden="1" x14ac:dyDescent="0.25">
      <c r="B123"/>
      <c r="C123"/>
      <c r="D123"/>
      <c r="E123"/>
      <c r="F123"/>
      <c r="G123"/>
      <c r="H123"/>
      <c r="I123"/>
      <c r="J123"/>
      <c r="K123" s="125"/>
      <c r="L123"/>
      <c r="M123"/>
      <c r="N123"/>
      <c r="O123"/>
      <c r="P123"/>
      <c r="Q123"/>
      <c r="R123"/>
      <c r="S123"/>
      <c r="T123"/>
      <c r="U123"/>
      <c r="V123"/>
    </row>
    <row r="124" spans="2:22" hidden="1" x14ac:dyDescent="0.25">
      <c r="B124"/>
      <c r="C124"/>
      <c r="D124"/>
      <c r="E124"/>
      <c r="F124"/>
      <c r="G124"/>
      <c r="H124"/>
      <c r="I124"/>
      <c r="J124"/>
      <c r="K124" s="125"/>
      <c r="L124"/>
      <c r="M124"/>
      <c r="N124"/>
      <c r="O124"/>
      <c r="P124"/>
      <c r="Q124"/>
      <c r="R124"/>
      <c r="S124"/>
      <c r="T124"/>
      <c r="U124"/>
      <c r="V124"/>
    </row>
    <row r="125" spans="2:22" hidden="1" x14ac:dyDescent="0.25">
      <c r="B125"/>
      <c r="C125"/>
      <c r="D125"/>
      <c r="E125"/>
      <c r="F125"/>
      <c r="G125"/>
      <c r="H125"/>
      <c r="I125"/>
      <c r="J125"/>
      <c r="K125" s="125"/>
      <c r="L125"/>
      <c r="M125"/>
      <c r="N125"/>
      <c r="O125"/>
      <c r="P125"/>
      <c r="Q125"/>
      <c r="R125"/>
      <c r="S125"/>
      <c r="T125"/>
      <c r="U125"/>
      <c r="V125"/>
    </row>
    <row r="126" spans="2:22" hidden="1" x14ac:dyDescent="0.25">
      <c r="B126"/>
      <c r="C126"/>
      <c r="D126"/>
      <c r="E126"/>
      <c r="F126"/>
      <c r="G126"/>
      <c r="H126"/>
      <c r="I126"/>
      <c r="J126"/>
      <c r="K126" s="125"/>
      <c r="L126"/>
      <c r="M126"/>
      <c r="N126"/>
      <c r="O126"/>
      <c r="P126"/>
      <c r="Q126"/>
      <c r="R126"/>
      <c r="S126"/>
      <c r="T126"/>
      <c r="U126"/>
      <c r="V126"/>
    </row>
    <row r="127" spans="2:22" hidden="1" x14ac:dyDescent="0.25">
      <c r="B127"/>
      <c r="C127"/>
      <c r="D127"/>
      <c r="E127"/>
      <c r="F127"/>
      <c r="G127"/>
      <c r="H127"/>
      <c r="I127"/>
      <c r="J127"/>
      <c r="K127" s="125"/>
      <c r="L127"/>
      <c r="M127"/>
      <c r="N127"/>
      <c r="O127"/>
      <c r="P127"/>
      <c r="Q127"/>
      <c r="R127"/>
      <c r="S127"/>
      <c r="T127"/>
      <c r="U127"/>
      <c r="V127"/>
    </row>
    <row r="128" spans="2:22" hidden="1" x14ac:dyDescent="0.25">
      <c r="J128"/>
      <c r="K128" s="125"/>
      <c r="L128"/>
      <c r="M128"/>
      <c r="N128"/>
      <c r="O128"/>
      <c r="P128"/>
      <c r="Q128"/>
      <c r="R128"/>
      <c r="S128"/>
      <c r="T128"/>
      <c r="U128"/>
      <c r="V128"/>
    </row>
    <row r="129" spans="2:22" hidden="1" x14ac:dyDescent="0.25">
      <c r="J129"/>
      <c r="K129" s="125"/>
      <c r="L129"/>
      <c r="M129"/>
      <c r="N129"/>
      <c r="O129"/>
      <c r="P129"/>
      <c r="Q129"/>
      <c r="R129"/>
      <c r="S129"/>
      <c r="T129"/>
      <c r="U129"/>
      <c r="V129"/>
    </row>
    <row r="130" spans="2:22" hidden="1" x14ac:dyDescent="0.25">
      <c r="J130"/>
      <c r="K130" s="125"/>
      <c r="L130"/>
      <c r="M130"/>
      <c r="N130"/>
      <c r="O130"/>
      <c r="P130"/>
      <c r="Q130"/>
      <c r="R130"/>
      <c r="S130"/>
      <c r="T130"/>
      <c r="U130"/>
      <c r="V130"/>
    </row>
    <row r="131" spans="2:22" hidden="1" x14ac:dyDescent="0.25"/>
    <row r="132" spans="2:22" hidden="1" x14ac:dyDescent="0.25">
      <c r="B132" s="112" t="s">
        <v>30</v>
      </c>
      <c r="C132" s="112">
        <f>IF(C5&lt;=20,C100,IF(AND(C5&gt;20,C5&lt;=45),E100,H100))</f>
        <v>0.5917</v>
      </c>
      <c r="E132" s="110" t="s">
        <v>32</v>
      </c>
      <c r="F132" s="111">
        <v>101.325</v>
      </c>
      <c r="G132" s="110" t="s">
        <v>33</v>
      </c>
      <c r="I132"/>
    </row>
    <row r="133" spans="2:22" hidden="1" x14ac:dyDescent="0.25">
      <c r="B133" s="106" t="s">
        <v>31</v>
      </c>
      <c r="C133" s="106">
        <f>IF(C5&lt;=20,C101,IF(AND(C5&gt;20,C5&lt;=45),E101,H101))</f>
        <v>0.97509999999999997</v>
      </c>
    </row>
    <row r="134" spans="2:22" hidden="1" x14ac:dyDescent="0.25"/>
    <row r="135" spans="2:22" ht="18.75" hidden="1" x14ac:dyDescent="0.3">
      <c r="B135" s="183" t="s">
        <v>53</v>
      </c>
      <c r="C135" s="184"/>
      <c r="D135" s="184"/>
      <c r="E135" s="184"/>
      <c r="F135" s="184"/>
      <c r="G135" s="184"/>
      <c r="H135" s="184"/>
      <c r="I135" s="185"/>
    </row>
    <row r="136" spans="2:22" hidden="1" x14ac:dyDescent="0.25">
      <c r="B136" s="105" t="s">
        <v>34</v>
      </c>
      <c r="C136" s="109" t="s">
        <v>35</v>
      </c>
    </row>
    <row r="137" spans="2:22" hidden="1" x14ac:dyDescent="0.25">
      <c r="B137" s="107">
        <v>0</v>
      </c>
      <c r="C137" s="108">
        <f>$C$132*$F$132*(B137/$F$79)^$C$133</f>
        <v>0</v>
      </c>
    </row>
    <row r="138" spans="2:22" hidden="1" x14ac:dyDescent="0.25">
      <c r="B138" s="107">
        <v>15</v>
      </c>
      <c r="C138" s="108">
        <f t="shared" ref="C138:C144" si="6">$C$132*$F$132*(B138/$F$79)^$C$133</f>
        <v>9.3078740854932729</v>
      </c>
    </row>
    <row r="139" spans="2:22" hidden="1" x14ac:dyDescent="0.25">
      <c r="B139" s="107">
        <v>25</v>
      </c>
      <c r="C139" s="108">
        <f t="shared" si="6"/>
        <v>15.31705300981913</v>
      </c>
    </row>
    <row r="140" spans="2:22" hidden="1" x14ac:dyDescent="0.25">
      <c r="B140" s="107">
        <v>75</v>
      </c>
      <c r="C140" s="108">
        <f t="shared" si="6"/>
        <v>44.711181967371786</v>
      </c>
    </row>
    <row r="141" spans="2:22" hidden="1" x14ac:dyDescent="0.25">
      <c r="B141" s="107">
        <v>150</v>
      </c>
      <c r="C141" s="108">
        <f t="shared" si="6"/>
        <v>87.892233259908096</v>
      </c>
    </row>
    <row r="142" spans="2:22" hidden="1" x14ac:dyDescent="0.25">
      <c r="B142" s="107">
        <v>200</v>
      </c>
      <c r="C142" s="108">
        <f t="shared" si="6"/>
        <v>116.3531811768441</v>
      </c>
    </row>
    <row r="143" spans="2:22" hidden="1" x14ac:dyDescent="0.25">
      <c r="B143" s="107">
        <v>300</v>
      </c>
      <c r="C143" s="108">
        <f t="shared" si="6"/>
        <v>172.77657014416408</v>
      </c>
    </row>
    <row r="144" spans="2:22" hidden="1" x14ac:dyDescent="0.25">
      <c r="B144" s="107">
        <v>400</v>
      </c>
      <c r="C144" s="108">
        <f t="shared" si="6"/>
        <v>228.72445975573635</v>
      </c>
    </row>
    <row r="145" spans="2:3" hidden="1" x14ac:dyDescent="0.25">
      <c r="B145" s="107">
        <v>500</v>
      </c>
      <c r="C145" s="108">
        <f>$C$132*$F$132*(B145/$F$79)^$C$133</f>
        <v>284.32140996379269</v>
      </c>
    </row>
    <row r="146" spans="2:3" hidden="1" x14ac:dyDescent="0.25">
      <c r="B146" s="107">
        <v>600</v>
      </c>
      <c r="C146" s="108">
        <f>$C$132*$F$132*(B146/$F$79)^$C$133</f>
        <v>339.6402854221032</v>
      </c>
    </row>
    <row r="147" spans="2:3" hidden="1" x14ac:dyDescent="0.25">
      <c r="B147" s="107">
        <v>700</v>
      </c>
      <c r="C147" s="108">
        <f>$C$132*$F$132*(B147/$F$132)^$C$133</f>
        <v>394.72897943580114</v>
      </c>
    </row>
    <row r="148" spans="2:3" hidden="1" x14ac:dyDescent="0.25"/>
  </sheetData>
  <sheetProtection selectLockedCells="1"/>
  <mergeCells count="30">
    <mergeCell ref="B1:P1"/>
    <mergeCell ref="B2:P2"/>
    <mergeCell ref="B3:C3"/>
    <mergeCell ref="D3:D6"/>
    <mergeCell ref="F3:J3"/>
    <mergeCell ref="K3:P3"/>
    <mergeCell ref="N57:P57"/>
    <mergeCell ref="B8:I8"/>
    <mergeCell ref="L8:P8"/>
    <mergeCell ref="R8:U8"/>
    <mergeCell ref="B9:B10"/>
    <mergeCell ref="B11:B12"/>
    <mergeCell ref="B13:B15"/>
    <mergeCell ref="B17:I17"/>
    <mergeCell ref="B18:B19"/>
    <mergeCell ref="B20:B21"/>
    <mergeCell ref="B22:B23"/>
    <mergeCell ref="L36:Q36"/>
    <mergeCell ref="E58:F58"/>
    <mergeCell ref="G54:H54"/>
    <mergeCell ref="B135:I135"/>
    <mergeCell ref="B61:I61"/>
    <mergeCell ref="B82:I82"/>
    <mergeCell ref="B99:I99"/>
    <mergeCell ref="B104:C104"/>
    <mergeCell ref="E104:F104"/>
    <mergeCell ref="H104:I104"/>
    <mergeCell ref="E55:F55"/>
    <mergeCell ref="E56:F56"/>
    <mergeCell ref="E57:F57"/>
  </mergeCells>
  <hyperlinks>
    <hyperlink ref="N58" r:id="rId1"/>
  </hyperlinks>
  <pageMargins left="0.7" right="0.7" top="0.75" bottom="0.75" header="0.3" footer="0.3"/>
  <pageSetup orientation="portrait" verticalDpi="52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7"/>
  <sheetViews>
    <sheetView tabSelected="1" zoomScale="70" zoomScaleNormal="70" workbookViewId="0">
      <selection activeCell="C5" sqref="C5"/>
    </sheetView>
  </sheetViews>
  <sheetFormatPr defaultColWidth="8.85546875" defaultRowHeight="15" x14ac:dyDescent="0.25"/>
  <cols>
    <col min="1" max="1" width="1.85546875" style="1" customWidth="1"/>
    <col min="2" max="2" width="10.140625" style="1" customWidth="1"/>
    <col min="3" max="3" width="11.140625" style="1" customWidth="1"/>
    <col min="4" max="4" width="10.42578125" style="1" bestFit="1" customWidth="1"/>
    <col min="5" max="5" width="17.42578125" style="1" customWidth="1"/>
    <col min="6" max="7" width="10.140625" style="1" customWidth="1"/>
    <col min="8" max="8" width="10.42578125" style="1" customWidth="1"/>
    <col min="9" max="9" width="11.42578125" style="1" customWidth="1"/>
    <col min="10" max="10" width="12.85546875" style="1" customWidth="1"/>
    <col min="11" max="13" width="8.85546875" style="1" customWidth="1"/>
    <col min="14" max="14" width="11.5703125" style="1" customWidth="1"/>
    <col min="15" max="15" width="10.5703125" style="1" customWidth="1"/>
    <col min="16" max="16" width="12" style="1" customWidth="1"/>
    <col min="17" max="17" width="5.85546875" style="1" customWidth="1"/>
    <col min="18" max="18" width="10" style="1" bestFit="1" customWidth="1"/>
    <col min="19" max="19" width="8.85546875" style="1"/>
    <col min="20" max="20" width="10" style="1" bestFit="1" customWidth="1"/>
    <col min="21" max="21" width="10.42578125" style="1" bestFit="1" customWidth="1"/>
    <col min="22" max="22" width="14.42578125" style="1" bestFit="1" customWidth="1"/>
    <col min="23" max="23" width="8.85546875" style="1"/>
    <col min="24" max="24" width="10" style="1" bestFit="1" customWidth="1"/>
    <col min="25" max="25" width="8.85546875" style="1"/>
    <col min="26" max="26" width="10" style="1" bestFit="1" customWidth="1"/>
    <col min="27" max="16384" width="8.85546875" style="1"/>
  </cols>
  <sheetData>
    <row r="1" spans="1:21" ht="30" customHeight="1" x14ac:dyDescent="0.25">
      <c r="A1" s="71"/>
      <c r="B1" s="204" t="s">
        <v>16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71"/>
    </row>
    <row r="2" spans="1:21" ht="19.5" customHeight="1" x14ac:dyDescent="0.35">
      <c r="A2" s="71"/>
      <c r="B2" s="205" t="s">
        <v>44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7"/>
      <c r="Q2" s="71"/>
    </row>
    <row r="3" spans="1:21" ht="18.75" customHeight="1" x14ac:dyDescent="0.35">
      <c r="A3" s="71"/>
      <c r="B3" s="208" t="s">
        <v>11</v>
      </c>
      <c r="C3" s="209"/>
      <c r="D3" s="210" t="s">
        <v>10</v>
      </c>
      <c r="E3" s="100"/>
      <c r="F3" s="213" t="s">
        <v>19</v>
      </c>
      <c r="G3" s="214"/>
      <c r="H3" s="214"/>
      <c r="I3" s="214"/>
      <c r="J3" s="215"/>
      <c r="K3" s="216" t="s">
        <v>60</v>
      </c>
      <c r="L3" s="217"/>
      <c r="M3" s="217"/>
      <c r="N3" s="217"/>
      <c r="O3" s="217"/>
      <c r="P3" s="218"/>
      <c r="Q3" s="71"/>
    </row>
    <row r="4" spans="1:21" ht="17.25" customHeight="1" x14ac:dyDescent="0.25">
      <c r="A4" s="71"/>
      <c r="B4" s="101" t="s">
        <v>17</v>
      </c>
      <c r="C4" s="101" t="s">
        <v>21</v>
      </c>
      <c r="D4" s="211"/>
      <c r="E4" s="149" t="s">
        <v>23</v>
      </c>
      <c r="F4" s="74" t="s">
        <v>24</v>
      </c>
      <c r="G4" s="165" t="s">
        <v>28</v>
      </c>
      <c r="H4" s="74" t="s">
        <v>27</v>
      </c>
      <c r="I4" s="165" t="s">
        <v>26</v>
      </c>
      <c r="J4" s="165" t="s">
        <v>25</v>
      </c>
      <c r="K4" s="166">
        <v>0</v>
      </c>
      <c r="L4" s="166">
        <v>250</v>
      </c>
      <c r="M4" s="166">
        <v>1044</v>
      </c>
      <c r="N4" s="166">
        <v>2088</v>
      </c>
      <c r="O4" s="166">
        <v>8354</v>
      </c>
      <c r="P4" s="178">
        <v>14620</v>
      </c>
      <c r="Q4" s="71"/>
    </row>
    <row r="5" spans="1:21" ht="18.75" x14ac:dyDescent="0.3">
      <c r="A5" s="71"/>
      <c r="B5" s="99">
        <v>70</v>
      </c>
      <c r="C5" s="99">
        <v>60</v>
      </c>
      <c r="D5" s="211"/>
      <c r="E5" s="167" t="s">
        <v>15</v>
      </c>
      <c r="F5" s="168" t="s">
        <v>18</v>
      </c>
      <c r="G5" s="169">
        <f>IF(C5&lt;21,F10,IF(C5&gt;45,F15,F12))</f>
        <v>15.2202</v>
      </c>
      <c r="H5" s="169">
        <f>IF(C5&lt;21,G10,IF(C5&gt;45,G15,G12))</f>
        <v>13.871832699999997</v>
      </c>
      <c r="I5" s="169">
        <f>IF(C5&lt;21,H10,IF(C5&gt;45,H15,H12))</f>
        <v>12.097884000000001</v>
      </c>
      <c r="J5" s="169">
        <f>IF(C5&lt;21,I10,IF(C5&gt;45,I15,I12))</f>
        <v>8.9278333000000032</v>
      </c>
      <c r="K5" s="170">
        <v>0</v>
      </c>
      <c r="L5" s="170" t="s">
        <v>18</v>
      </c>
      <c r="M5" s="169">
        <f>IF(G5="NA", "NA", M4*TAN(RADIANS(G5)))</f>
        <v>284.04379899575383</v>
      </c>
      <c r="N5" s="169">
        <f>IF(H5="NA", "NA", N4*TAN(RADIANS(H5)))</f>
        <v>515.63853988885592</v>
      </c>
      <c r="O5" s="169">
        <f>IF(I5="NA", "NA", O4*TAN(RADIANS(I5)))</f>
        <v>1790.6197182391365</v>
      </c>
      <c r="P5" s="169">
        <f>IF(J5="NA", "NA", P4*TAN(RADIANS(J5)))</f>
        <v>2296.7077612273665</v>
      </c>
      <c r="Q5" s="71"/>
    </row>
    <row r="6" spans="1:21" ht="18.75" x14ac:dyDescent="0.3">
      <c r="A6" s="71"/>
      <c r="B6" s="72"/>
      <c r="C6" s="72"/>
      <c r="D6" s="212"/>
      <c r="E6" s="171" t="s">
        <v>14</v>
      </c>
      <c r="F6" s="172">
        <f>IF(C5&lt;21,E19,IF(C5&gt;45,E23,E21))</f>
        <v>30.52037</v>
      </c>
      <c r="G6" s="172">
        <f>IF(C5&lt;21,F19,IF(C5&gt;45,F23,F21))</f>
        <v>26.717032</v>
      </c>
      <c r="H6" s="172">
        <f>IF(C5&lt;21,G19,IF(C5&gt;45,G23,G21))</f>
        <v>23.290283400000003</v>
      </c>
      <c r="I6" s="172">
        <f>IF(C5&lt;21,H19,IF(C5&gt;45,H23,H21))</f>
        <v>19.753799799999996</v>
      </c>
      <c r="J6" s="172" t="s">
        <v>18</v>
      </c>
      <c r="K6" s="173">
        <v>0</v>
      </c>
      <c r="L6" s="172">
        <f>IF(F6="NA", "NA", L4*TAN(RADIANS(F6)))</f>
        <v>147.38099944079923</v>
      </c>
      <c r="M6" s="172">
        <f>IF(G6="NA", "NA", M4*TAN(RADIANS(G6)))</f>
        <v>525.46620361268083</v>
      </c>
      <c r="N6" s="172">
        <f>IF(H6="NA", "NA", N4*TAN(RADIANS(H6)))</f>
        <v>898.81512434183878</v>
      </c>
      <c r="O6" s="172">
        <f>IF(I6="NA","NA",O4*TAN(RADIANS(I6)))</f>
        <v>3000.017942077146</v>
      </c>
      <c r="P6" s="173" t="s">
        <v>18</v>
      </c>
      <c r="Q6" s="71"/>
    </row>
    <row r="7" spans="1:21" ht="3" hidden="1" customHeight="1" x14ac:dyDescent="0.35">
      <c r="A7" s="7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Q7" s="71"/>
      <c r="R7" s="3"/>
    </row>
    <row r="8" spans="1:21" ht="18.75" hidden="1" x14ac:dyDescent="0.3">
      <c r="A8" s="71"/>
      <c r="B8" s="190" t="s">
        <v>12</v>
      </c>
      <c r="C8" s="190"/>
      <c r="D8" s="190"/>
      <c r="E8" s="190"/>
      <c r="F8" s="190"/>
      <c r="G8" s="190"/>
      <c r="H8" s="190"/>
      <c r="I8" s="190"/>
      <c r="J8" s="4"/>
      <c r="K8" s="4"/>
      <c r="L8" s="191" t="s">
        <v>12</v>
      </c>
      <c r="M8" s="191"/>
      <c r="N8" s="191"/>
      <c r="O8" s="191"/>
      <c r="P8" s="191"/>
      <c r="Q8" s="71"/>
      <c r="R8" s="192" t="s">
        <v>13</v>
      </c>
      <c r="S8" s="193"/>
      <c r="T8" s="193"/>
      <c r="U8" s="194"/>
    </row>
    <row r="9" spans="1:21" ht="18.75" hidden="1" x14ac:dyDescent="0.3">
      <c r="A9" s="71"/>
      <c r="B9" s="195" t="s">
        <v>36</v>
      </c>
      <c r="C9" s="75">
        <f>B5</f>
        <v>70</v>
      </c>
      <c r="D9" s="75"/>
      <c r="E9" s="75" t="s">
        <v>18</v>
      </c>
      <c r="F9" s="76">
        <f>39.7-0.29*C9+0.000663*(C9)^2</f>
        <v>22.648700000000005</v>
      </c>
      <c r="G9" s="76">
        <f>39.4-0.298*C9+0.000681*(C9)^2</f>
        <v>21.876899999999999</v>
      </c>
      <c r="H9" s="76">
        <f>40.2-0.375*C9+0.00136*(C9)^2</f>
        <v>20.614000000000004</v>
      </c>
      <c r="I9" s="77">
        <f>40.34-0.412*C9+0.001683*(C9)^2</f>
        <v>19.746700000000004</v>
      </c>
      <c r="L9" s="5" t="s">
        <v>36</v>
      </c>
      <c r="M9" s="6" t="s">
        <v>1</v>
      </c>
      <c r="N9" s="6" t="s">
        <v>2</v>
      </c>
      <c r="O9" s="6" t="s">
        <v>3</v>
      </c>
      <c r="Q9" s="71"/>
      <c r="R9" s="5" t="s">
        <v>36</v>
      </c>
      <c r="S9" s="7" t="s">
        <v>1</v>
      </c>
      <c r="T9" s="8" t="s">
        <v>2</v>
      </c>
      <c r="U9" s="8" t="s">
        <v>3</v>
      </c>
    </row>
    <row r="10" spans="1:21" ht="18.75" hidden="1" x14ac:dyDescent="0.35">
      <c r="A10" s="71"/>
      <c r="B10" s="196"/>
      <c r="C10" s="78">
        <f>C9</f>
        <v>70</v>
      </c>
      <c r="D10" s="78"/>
      <c r="E10" s="78" t="s">
        <v>18</v>
      </c>
      <c r="F10" s="79">
        <f>IF(C10&lt;30,"NA",IF(C10&lt;81,F9,"NA"))</f>
        <v>22.648700000000005</v>
      </c>
      <c r="G10" s="79">
        <f>IF(C10&lt;30,"NA",IF(C10&lt;81,G9,"NA"))</f>
        <v>21.876899999999999</v>
      </c>
      <c r="H10" s="79">
        <f>IF(C10&lt;30,"NA",IF(C10&lt;81,H9,"NA"))</f>
        <v>20.614000000000004</v>
      </c>
      <c r="I10" s="80">
        <f>IF(C10&lt;30,"NA",IF(C10&lt;81,I9,"NA"))</f>
        <v>19.746700000000004</v>
      </c>
      <c r="L10" s="113" t="s">
        <v>0</v>
      </c>
      <c r="M10" s="9"/>
      <c r="N10" s="9" t="s">
        <v>4</v>
      </c>
      <c r="O10" s="9" t="s">
        <v>5</v>
      </c>
      <c r="Q10" s="71"/>
      <c r="R10" s="113" t="s">
        <v>0</v>
      </c>
      <c r="S10" s="10"/>
      <c r="T10" s="11" t="s">
        <v>4</v>
      </c>
      <c r="U10" s="11" t="s">
        <v>5</v>
      </c>
    </row>
    <row r="11" spans="1:21" hidden="1" x14ac:dyDescent="0.25">
      <c r="A11" s="71"/>
      <c r="B11" s="197" t="s">
        <v>37</v>
      </c>
      <c r="C11" s="81">
        <f>B5</f>
        <v>70</v>
      </c>
      <c r="D11" s="81"/>
      <c r="E11" s="81" t="s">
        <v>18</v>
      </c>
      <c r="F11" s="82">
        <f>31.4-0.0068*C11-0.00362*(C11)^2+0.0000187*(C11)^3</f>
        <v>19.600100000000001</v>
      </c>
      <c r="G11" s="82">
        <f>29.8-0.00036*C11-0.00358*(C11)^2+0.0000185*(C11)^3</f>
        <v>18.578299999999999</v>
      </c>
      <c r="H11" s="82">
        <f>28.4-0.056*C11-0.00295*(C11)^2+0.0000172*(C11)^3</f>
        <v>15.924599999999998</v>
      </c>
      <c r="I11" s="83">
        <f>28.05-0.2083*C11-0.0008183*(C11)^2+0.000009372*(C11)^3</f>
        <v>12.673926</v>
      </c>
      <c r="L11" s="12">
        <v>50</v>
      </c>
      <c r="M11" s="13">
        <v>39.700000000000003</v>
      </c>
      <c r="N11" s="14">
        <v>-0.28999999999999998</v>
      </c>
      <c r="O11" s="15">
        <v>6.6299999999999996E-4</v>
      </c>
      <c r="Q11" s="71"/>
      <c r="R11" s="16">
        <v>50</v>
      </c>
      <c r="S11" s="17">
        <v>34.85</v>
      </c>
      <c r="T11" s="18">
        <v>-7.0900000000000005E-2</v>
      </c>
      <c r="U11" s="19">
        <v>2.3499999999999999E-4</v>
      </c>
    </row>
    <row r="12" spans="1:21" hidden="1" x14ac:dyDescent="0.25">
      <c r="A12" s="71"/>
      <c r="B12" s="198"/>
      <c r="C12" s="84">
        <f>C11</f>
        <v>70</v>
      </c>
      <c r="D12" s="84"/>
      <c r="E12" s="84" t="s">
        <v>18</v>
      </c>
      <c r="F12" s="85">
        <f>IF(C12&lt;30,"NA",IF(C12&lt;=130,F11,"NA"))</f>
        <v>19.600100000000001</v>
      </c>
      <c r="G12" s="85">
        <f>IF(C12&lt;30,"NA",IF(C12&lt;=130,G11,"NA"))</f>
        <v>18.578299999999999</v>
      </c>
      <c r="H12" s="85">
        <f>IF(C12&lt;30,"NA",IF(C12&lt;=130,H11,"NA"))</f>
        <v>15.924599999999998</v>
      </c>
      <c r="I12" s="86">
        <f>IF(C12&lt;30,"NA",IF(C12&lt;=130,I11,"NA"))</f>
        <v>12.673926</v>
      </c>
      <c r="L12" s="20">
        <v>100</v>
      </c>
      <c r="M12" s="21">
        <v>39.4</v>
      </c>
      <c r="N12" s="22">
        <v>-0.29799999999999999</v>
      </c>
      <c r="O12" s="23">
        <v>6.8099999999999996E-4</v>
      </c>
      <c r="Q12" s="71"/>
      <c r="R12" s="24">
        <v>100</v>
      </c>
      <c r="S12" s="25">
        <v>34.39</v>
      </c>
      <c r="T12" s="26">
        <v>-8.6300000000000002E-2</v>
      </c>
      <c r="U12" s="27">
        <v>2.6600000000000001E-4</v>
      </c>
    </row>
    <row r="13" spans="1:21" ht="5.25" hidden="1" customHeight="1" x14ac:dyDescent="0.25">
      <c r="A13" s="71"/>
      <c r="B13" s="199" t="s">
        <v>38</v>
      </c>
      <c r="C13" s="87">
        <f>B5</f>
        <v>70</v>
      </c>
      <c r="D13" s="87"/>
      <c r="E13" s="87" t="s">
        <v>18</v>
      </c>
      <c r="F13" s="88">
        <f>33.5-0.31*$C13+0.00039*($C13)^2+0.0000044*($C13)^3</f>
        <v>15.2202</v>
      </c>
      <c r="G13" s="88">
        <f>30.7-0.2504*$C13-0.00042053*($C13)^2+0.0000080479*($C13)^3</f>
        <v>13.871832699999997</v>
      </c>
      <c r="H13" s="88">
        <f>29.42-0.2621*$C13-0.0004011*($C13)^2+0.000008718*($C13)^3</f>
        <v>12.097884000000001</v>
      </c>
      <c r="I13" s="89">
        <f>27.7-0.3233*$C13+0.0002896*($C13)^2+0.0000071131*($C13)^3</f>
        <v>8.9278333000000032</v>
      </c>
      <c r="L13" s="28">
        <v>400</v>
      </c>
      <c r="M13" s="29">
        <v>40.200000000000003</v>
      </c>
      <c r="N13" s="25">
        <v>-0.375</v>
      </c>
      <c r="O13" s="30">
        <v>1.3600000000000001E-3</v>
      </c>
      <c r="Q13" s="71"/>
      <c r="R13" s="31">
        <v>400</v>
      </c>
      <c r="S13" s="32">
        <v>34.76</v>
      </c>
      <c r="T13" s="33">
        <v>-0.13</v>
      </c>
      <c r="U13" s="34">
        <v>4.7100000000000001E-4</v>
      </c>
    </row>
    <row r="14" spans="1:21" hidden="1" x14ac:dyDescent="0.25">
      <c r="A14" s="71"/>
      <c r="B14" s="200"/>
      <c r="C14" s="90">
        <f>C13</f>
        <v>70</v>
      </c>
      <c r="D14" s="90"/>
      <c r="E14" s="90" t="s">
        <v>18</v>
      </c>
      <c r="F14" s="91">
        <f>12.03-0.0215*$C14</f>
        <v>10.524999999999999</v>
      </c>
      <c r="G14" s="91">
        <f>10.64-0.0183*$C14</f>
        <v>9.359</v>
      </c>
      <c r="H14" s="91">
        <f>8.32-0.0114*$C14</f>
        <v>7.5220000000000002</v>
      </c>
      <c r="I14" s="92">
        <f>5.84-0.0049*$C14</f>
        <v>5.4969999999999999</v>
      </c>
      <c r="L14" s="35">
        <v>700</v>
      </c>
      <c r="M14" s="36">
        <v>40.299999999999997</v>
      </c>
      <c r="N14" s="32">
        <v>-0.41199999999999998</v>
      </c>
      <c r="O14" s="37">
        <v>1.6800000000000001E-3</v>
      </c>
      <c r="Q14" s="71"/>
    </row>
    <row r="15" spans="1:21" hidden="1" x14ac:dyDescent="0.25">
      <c r="A15" s="71"/>
      <c r="B15" s="201"/>
      <c r="C15" s="93">
        <f>B5</f>
        <v>70</v>
      </c>
      <c r="D15" s="93"/>
      <c r="E15" s="93" t="s">
        <v>18</v>
      </c>
      <c r="F15" s="94">
        <f>IF(C15&lt;30,"NA",IF(C15&lt;120,F13,IF(C15&lt;=300,F14,"NA")))</f>
        <v>15.2202</v>
      </c>
      <c r="G15" s="94">
        <f>IF(C15&lt;30,"NA",IF(C15&lt;120,G13,IF(C15&lt;=300,G14,"NA")))</f>
        <v>13.871832699999997</v>
      </c>
      <c r="H15" s="94">
        <f>IF(C15&lt;30,"NA",IF(C15&lt;120,H13,IF(C15&lt;=300,H14,"NA")))</f>
        <v>12.097884000000001</v>
      </c>
      <c r="I15" s="95">
        <f>IF(C15&lt;30,"NA",IF(C15&lt;120,I13,IF(C15&lt;=300,I14,"NA")))</f>
        <v>8.9278333000000032</v>
      </c>
      <c r="Q15" s="71"/>
    </row>
    <row r="16" spans="1:21" ht="18.75" hidden="1" x14ac:dyDescent="0.3">
      <c r="A16" s="71"/>
      <c r="L16" s="38" t="s">
        <v>37</v>
      </c>
      <c r="M16" s="39" t="s">
        <v>1</v>
      </c>
      <c r="N16" s="39" t="s">
        <v>2</v>
      </c>
      <c r="O16" s="39" t="s">
        <v>3</v>
      </c>
      <c r="P16" s="39" t="s">
        <v>6</v>
      </c>
      <c r="Q16" s="71"/>
      <c r="R16" s="38" t="s">
        <v>37</v>
      </c>
      <c r="S16" s="40" t="s">
        <v>1</v>
      </c>
      <c r="T16" s="41" t="s">
        <v>2</v>
      </c>
      <c r="U16" s="41" t="s">
        <v>3</v>
      </c>
    </row>
    <row r="17" spans="1:22" ht="19.5" hidden="1" x14ac:dyDescent="0.35">
      <c r="A17" s="71"/>
      <c r="B17" s="183" t="s">
        <v>13</v>
      </c>
      <c r="C17" s="184"/>
      <c r="D17" s="184"/>
      <c r="E17" s="184"/>
      <c r="F17" s="184"/>
      <c r="G17" s="184"/>
      <c r="H17" s="184"/>
      <c r="I17" s="185"/>
      <c r="L17" s="42" t="s">
        <v>0</v>
      </c>
      <c r="M17" s="39"/>
      <c r="N17" s="39" t="s">
        <v>4</v>
      </c>
      <c r="O17" s="39" t="s">
        <v>5</v>
      </c>
      <c r="P17" s="39" t="s">
        <v>7</v>
      </c>
      <c r="Q17" s="71"/>
      <c r="R17" s="42" t="s">
        <v>0</v>
      </c>
      <c r="S17" s="40"/>
      <c r="T17" s="41" t="s">
        <v>4</v>
      </c>
      <c r="U17" s="41" t="s">
        <v>5</v>
      </c>
    </row>
    <row r="18" spans="1:22" hidden="1" x14ac:dyDescent="0.25">
      <c r="A18" s="71"/>
      <c r="B18" s="202" t="s">
        <v>36</v>
      </c>
      <c r="C18" s="96">
        <f>B5</f>
        <v>70</v>
      </c>
      <c r="D18" s="96"/>
      <c r="E18" s="97">
        <f>35.33-0.0585*C18+0.0000971*C18^2</f>
        <v>31.710789999999999</v>
      </c>
      <c r="F18" s="97">
        <f>34.85-0.07929*C18+0.000235*(C18)^2</f>
        <v>30.4512</v>
      </c>
      <c r="G18" s="97">
        <f>34.39-0.0863*C18+0.000266*(C18)^2</f>
        <v>29.6524</v>
      </c>
      <c r="H18" s="97">
        <f>34.76-0.13*C18+0.000471*(C18)^2</f>
        <v>27.967899999999997</v>
      </c>
      <c r="I18" s="98" t="s">
        <v>18</v>
      </c>
      <c r="L18" s="12">
        <v>50</v>
      </c>
      <c r="M18" s="43">
        <v>31.4</v>
      </c>
      <c r="N18" s="44">
        <v>-6.7999999999999996E-3</v>
      </c>
      <c r="O18" s="44">
        <v>-3.62E-3</v>
      </c>
      <c r="P18" s="44">
        <v>1.8700000000000001E-5</v>
      </c>
      <c r="Q18" s="71"/>
      <c r="R18" s="16">
        <v>50</v>
      </c>
      <c r="S18" s="17">
        <v>36.18</v>
      </c>
      <c r="T18" s="18">
        <v>-0.1143</v>
      </c>
      <c r="U18" s="19">
        <v>2.354E-4</v>
      </c>
    </row>
    <row r="19" spans="1:22" hidden="1" x14ac:dyDescent="0.25">
      <c r="A19" s="71"/>
      <c r="B19" s="196"/>
      <c r="C19" s="78">
        <f>C18</f>
        <v>70</v>
      </c>
      <c r="D19" s="78"/>
      <c r="E19" s="79">
        <f>IF(C19&lt;30,"NA",IF(C19&lt;81,E18,"NA"))</f>
        <v>31.710789999999999</v>
      </c>
      <c r="F19" s="79">
        <f>IF(C19&lt;30,"NA",IF(C19&lt;81,F18,"NA"))</f>
        <v>30.4512</v>
      </c>
      <c r="G19" s="79">
        <f>IF(C19&lt;30,"NA",IF(C19&lt;81,G18,"NA"))</f>
        <v>29.6524</v>
      </c>
      <c r="H19" s="79">
        <f>IF(C19&lt;30,"NA",IF(C19&lt;81,H18,"NA"))</f>
        <v>27.967899999999997</v>
      </c>
      <c r="I19" s="80" t="s">
        <v>18</v>
      </c>
      <c r="L19" s="20">
        <v>100</v>
      </c>
      <c r="M19" s="45">
        <v>29.8</v>
      </c>
      <c r="N19" s="46">
        <v>-3.6000000000000002E-4</v>
      </c>
      <c r="O19" s="46">
        <v>-3.5799999999999998E-3</v>
      </c>
      <c r="P19" s="46">
        <v>1.8499999999999999E-5</v>
      </c>
      <c r="Q19" s="71"/>
      <c r="R19" s="24">
        <v>100</v>
      </c>
      <c r="S19" s="25">
        <v>33.11</v>
      </c>
      <c r="T19" s="26">
        <v>-0.107</v>
      </c>
      <c r="U19" s="47">
        <v>2.2000000000000001E-4</v>
      </c>
    </row>
    <row r="20" spans="1:22" hidden="1" x14ac:dyDescent="0.25">
      <c r="A20" s="71"/>
      <c r="B20" s="197" t="s">
        <v>37</v>
      </c>
      <c r="C20" s="81">
        <f>B5</f>
        <v>70</v>
      </c>
      <c r="D20" s="81"/>
      <c r="E20" s="82">
        <f>38.1-0.119*C20+0.000248*C20^2</f>
        <v>30.985200000000003</v>
      </c>
      <c r="F20" s="82">
        <f>36.18-0.1143*C20+0.0002354*(C20)^2</f>
        <v>29.332460000000001</v>
      </c>
      <c r="G20" s="82">
        <f>33.11-0.107*C20+0.00022*(C20)^2</f>
        <v>26.697999999999997</v>
      </c>
      <c r="H20" s="82">
        <f>30.7-0.1263*C20+0.0003442*(C20)^2</f>
        <v>23.545580000000001</v>
      </c>
      <c r="I20" s="83" t="s">
        <v>18</v>
      </c>
      <c r="L20" s="28">
        <v>400</v>
      </c>
      <c r="M20" s="48">
        <v>28.4</v>
      </c>
      <c r="N20" s="49">
        <v>-5.6000000000000001E-2</v>
      </c>
      <c r="O20" s="49">
        <v>-2.9499999999999999E-3</v>
      </c>
      <c r="P20" s="49">
        <v>1.7200000000000001E-5</v>
      </c>
      <c r="Q20" s="71"/>
      <c r="R20" s="31">
        <v>400</v>
      </c>
      <c r="S20" s="32">
        <v>30.7</v>
      </c>
      <c r="T20" s="33">
        <v>-0.1263</v>
      </c>
      <c r="U20" s="50">
        <v>3.4420000000000002E-4</v>
      </c>
    </row>
    <row r="21" spans="1:22" hidden="1" x14ac:dyDescent="0.25">
      <c r="A21" s="71"/>
      <c r="B21" s="198"/>
      <c r="C21" s="84">
        <f>C20</f>
        <v>70</v>
      </c>
      <c r="D21" s="84"/>
      <c r="E21" s="85">
        <f>IF(C21&lt;30,"NA",IF(C21&lt;=130,E20,"NA"))</f>
        <v>30.985200000000003</v>
      </c>
      <c r="F21" s="85">
        <f>IF(C21&lt;30,"NA",IF(C21&lt;=130,F20,"NA"))</f>
        <v>29.332460000000001</v>
      </c>
      <c r="G21" s="85">
        <f>IF(C21&lt;30,"NA",IF(C21&lt;=130,G20,"NA"))</f>
        <v>26.697999999999997</v>
      </c>
      <c r="H21" s="85">
        <f>IF(C21&lt;30,"NA",IF(C21&lt;=130,H20,"NA"))</f>
        <v>23.545580000000001</v>
      </c>
      <c r="I21" s="86" t="s">
        <v>18</v>
      </c>
      <c r="L21" s="35">
        <v>700</v>
      </c>
      <c r="M21" s="51">
        <v>27.7</v>
      </c>
      <c r="N21" s="52">
        <v>-0.20100000000000001</v>
      </c>
      <c r="O21" s="52">
        <v>-7.2000000000000005E-4</v>
      </c>
      <c r="P21" s="52">
        <v>8.1999999999999994E-6</v>
      </c>
      <c r="Q21" s="71"/>
    </row>
    <row r="22" spans="1:22" hidden="1" x14ac:dyDescent="0.25">
      <c r="A22" s="71"/>
      <c r="B22" s="199" t="s">
        <v>38</v>
      </c>
      <c r="C22" s="90">
        <f>B5</f>
        <v>70</v>
      </c>
      <c r="D22" s="90"/>
      <c r="E22" s="91">
        <f>36.45-0.0918*C22+0.000109*C22^2-0.00000011*C22^3</f>
        <v>30.52037</v>
      </c>
      <c r="F22" s="91">
        <f>33.37-0.11*$C22+0.0002344*($C22)^2-0.000000296*($C22)^3</f>
        <v>26.717032</v>
      </c>
      <c r="G22" s="91">
        <f>31.17-0.142*$C22+0.0004678*($C22)^2-0.0000006762*($C22)^3</f>
        <v>23.290283400000003</v>
      </c>
      <c r="H22" s="91">
        <f>28-0.1533*$C22+0.000566*($C22)^2-0.0000008414*($C22)^3</f>
        <v>19.753799799999996</v>
      </c>
      <c r="I22" s="92" t="s">
        <v>18</v>
      </c>
      <c r="L22" s="53" t="s">
        <v>9</v>
      </c>
      <c r="M22" s="54"/>
      <c r="N22" s="54"/>
      <c r="O22" s="54"/>
      <c r="P22" s="54"/>
      <c r="Q22" s="71"/>
    </row>
    <row r="23" spans="1:22" ht="18.75" hidden="1" x14ac:dyDescent="0.3">
      <c r="A23" s="71"/>
      <c r="B23" s="201"/>
      <c r="C23" s="93">
        <f>C22</f>
        <v>70</v>
      </c>
      <c r="D23" s="93"/>
      <c r="E23" s="94">
        <f>IF(C23&lt;30,"NA",IF(C23&lt;=300,E22,"NA"))</f>
        <v>30.52037</v>
      </c>
      <c r="F23" s="94">
        <f>IF(C23&lt;30,"NA",IF(C23&lt;=300,F22,"NA"))</f>
        <v>26.717032</v>
      </c>
      <c r="G23" s="94">
        <f>IF(C23&lt;30,"NA",IF(C23&lt;=300,G22,"NA"))</f>
        <v>23.290283400000003</v>
      </c>
      <c r="H23" s="94">
        <f>IF(C23&lt;30,"NA",IF(C23&lt;=300,H22,"NA"))</f>
        <v>19.753799799999996</v>
      </c>
      <c r="I23" s="95" t="s">
        <v>18</v>
      </c>
      <c r="L23" s="55" t="s">
        <v>38</v>
      </c>
      <c r="M23" s="56" t="s">
        <v>1</v>
      </c>
      <c r="N23" s="56" t="s">
        <v>2</v>
      </c>
      <c r="O23" s="56" t="s">
        <v>3</v>
      </c>
      <c r="P23" s="56" t="s">
        <v>6</v>
      </c>
      <c r="Q23" s="71"/>
      <c r="R23" s="55" t="s">
        <v>38</v>
      </c>
      <c r="S23" s="57" t="s">
        <v>1</v>
      </c>
      <c r="T23" s="58" t="s">
        <v>2</v>
      </c>
      <c r="U23" s="58" t="s">
        <v>3</v>
      </c>
      <c r="V23" s="58" t="s">
        <v>6</v>
      </c>
    </row>
    <row r="24" spans="1:22" ht="18.75" hidden="1" x14ac:dyDescent="0.35">
      <c r="A24" s="71"/>
      <c r="L24" s="59" t="s">
        <v>0</v>
      </c>
      <c r="M24" s="56"/>
      <c r="N24" s="56" t="s">
        <v>4</v>
      </c>
      <c r="O24" s="56" t="s">
        <v>5</v>
      </c>
      <c r="P24" s="56" t="s">
        <v>7</v>
      </c>
      <c r="Q24" s="71"/>
      <c r="R24" s="59" t="s">
        <v>0</v>
      </c>
      <c r="S24" s="57"/>
      <c r="T24" s="58" t="s">
        <v>4</v>
      </c>
      <c r="U24" s="58" t="s">
        <v>5</v>
      </c>
      <c r="V24" s="58" t="s">
        <v>7</v>
      </c>
    </row>
    <row r="25" spans="1:22" hidden="1" x14ac:dyDescent="0.25">
      <c r="A25" s="71"/>
      <c r="L25" s="60">
        <v>50</v>
      </c>
      <c r="M25" s="61">
        <v>33.5</v>
      </c>
      <c r="N25" s="62">
        <v>-0.31</v>
      </c>
      <c r="O25" s="63">
        <v>3.8999999999999999E-4</v>
      </c>
      <c r="P25" s="64">
        <v>4.4000000000000002E-6</v>
      </c>
      <c r="Q25" s="71"/>
      <c r="R25" s="65">
        <v>50</v>
      </c>
      <c r="S25" s="66">
        <v>33.369999999999997</v>
      </c>
      <c r="T25" s="18">
        <v>-0.11</v>
      </c>
      <c r="U25" s="19">
        <v>2.3440000000000001E-4</v>
      </c>
      <c r="V25" s="67">
        <v>-2.96E-7</v>
      </c>
    </row>
    <row r="26" spans="1:22" hidden="1" x14ac:dyDescent="0.25">
      <c r="A26" s="71"/>
      <c r="L26" s="60">
        <v>100</v>
      </c>
      <c r="M26" s="61">
        <v>32.200000000000003</v>
      </c>
      <c r="N26" s="62">
        <v>-0.30499999999999999</v>
      </c>
      <c r="O26" s="63">
        <v>2.1000000000000001E-4</v>
      </c>
      <c r="P26" s="64">
        <v>5.6999999999999996E-6</v>
      </c>
      <c r="Q26" s="71"/>
      <c r="R26" s="65">
        <v>100</v>
      </c>
      <c r="S26" s="29">
        <v>31.17</v>
      </c>
      <c r="T26" s="26">
        <v>-0.14199999999999999</v>
      </c>
      <c r="U26" s="47">
        <v>4.6779999999999999E-4</v>
      </c>
      <c r="V26" s="68">
        <v>-6.7619999999999998E-7</v>
      </c>
    </row>
    <row r="27" spans="1:22" hidden="1" x14ac:dyDescent="0.25">
      <c r="A27" s="71"/>
      <c r="L27" s="60">
        <v>400</v>
      </c>
      <c r="M27" s="61">
        <v>29.4</v>
      </c>
      <c r="N27" s="62">
        <v>-0.26700000000000002</v>
      </c>
      <c r="O27" s="63">
        <v>-3.3E-4</v>
      </c>
      <c r="P27" s="64">
        <v>8.3000000000000002E-6</v>
      </c>
      <c r="Q27" s="71"/>
      <c r="R27" s="65">
        <v>400</v>
      </c>
      <c r="S27" s="36">
        <v>28</v>
      </c>
      <c r="T27" s="33">
        <v>-0.15329999999999999</v>
      </c>
      <c r="U27" s="50">
        <v>5.6400000000000005E-4</v>
      </c>
      <c r="V27" s="69">
        <v>-8.414E-7</v>
      </c>
    </row>
    <row r="28" spans="1:22" hidden="1" x14ac:dyDescent="0.25">
      <c r="A28" s="71"/>
      <c r="L28" s="60">
        <v>700</v>
      </c>
      <c r="M28" s="61">
        <v>40.5</v>
      </c>
      <c r="N28" s="62">
        <v>-0.8</v>
      </c>
      <c r="O28" s="63">
        <v>6.0000000000000001E-3</v>
      </c>
      <c r="P28" s="64">
        <v>-1.4800000000000001E-5</v>
      </c>
      <c r="Q28" s="71"/>
    </row>
    <row r="29" spans="1:22" hidden="1" x14ac:dyDescent="0.25">
      <c r="A29" s="71"/>
      <c r="L29" s="53" t="s">
        <v>8</v>
      </c>
      <c r="M29" s="54"/>
      <c r="N29" s="54"/>
      <c r="Q29" s="71"/>
    </row>
    <row r="30" spans="1:22" ht="18.75" hidden="1" x14ac:dyDescent="0.3">
      <c r="A30" s="71"/>
      <c r="L30" s="55" t="s">
        <v>38</v>
      </c>
      <c r="M30" s="56" t="s">
        <v>1</v>
      </c>
      <c r="N30" s="56" t="s">
        <v>2</v>
      </c>
      <c r="Q30" s="71"/>
    </row>
    <row r="31" spans="1:22" hidden="1" x14ac:dyDescent="0.25">
      <c r="A31" s="71"/>
      <c r="L31" s="60"/>
      <c r="M31" s="56"/>
      <c r="N31" s="56" t="s">
        <v>4</v>
      </c>
      <c r="Q31" s="71"/>
    </row>
    <row r="32" spans="1:22" hidden="1" x14ac:dyDescent="0.25">
      <c r="A32" s="71"/>
      <c r="L32" s="60">
        <v>50</v>
      </c>
      <c r="M32" s="70">
        <v>12</v>
      </c>
      <c r="N32" s="64">
        <v>-2.1499999999999998E-2</v>
      </c>
      <c r="Q32" s="71"/>
    </row>
    <row r="33" spans="1:18" hidden="1" x14ac:dyDescent="0.25">
      <c r="A33" s="71"/>
      <c r="L33" s="60">
        <v>100</v>
      </c>
      <c r="M33" s="70">
        <v>10.6</v>
      </c>
      <c r="N33" s="64">
        <v>-1.83E-2</v>
      </c>
      <c r="Q33" s="71"/>
    </row>
    <row r="34" spans="1:18" hidden="1" x14ac:dyDescent="0.25">
      <c r="A34" s="71"/>
      <c r="L34" s="60">
        <v>400</v>
      </c>
      <c r="M34" s="70">
        <v>8.3000000000000007</v>
      </c>
      <c r="N34" s="64">
        <v>-1.14E-2</v>
      </c>
      <c r="Q34" s="71"/>
    </row>
    <row r="35" spans="1:18" hidden="1" x14ac:dyDescent="0.25">
      <c r="A35" s="71"/>
      <c r="L35" s="60">
        <v>700</v>
      </c>
      <c r="M35" s="70">
        <v>5.95</v>
      </c>
      <c r="N35" s="64">
        <v>-5.4000000000000003E-3</v>
      </c>
      <c r="Q35" s="71"/>
    </row>
    <row r="36" spans="1:18" ht="18" customHeight="1" x14ac:dyDescent="0.3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203" t="s">
        <v>71</v>
      </c>
      <c r="M36" s="203"/>
      <c r="N36" s="203"/>
      <c r="O36" s="203"/>
      <c r="P36" s="203"/>
      <c r="Q36" s="203"/>
    </row>
    <row r="37" spans="1:18" ht="18.95" customHeight="1" x14ac:dyDescent="0.3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24"/>
      <c r="M37" s="124"/>
      <c r="N37" s="124"/>
      <c r="O37" s="124"/>
      <c r="P37" s="124"/>
      <c r="Q37" s="124"/>
    </row>
    <row r="38" spans="1:18" ht="18.95" customHeight="1" x14ac:dyDescent="0.3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124"/>
      <c r="M38" s="124"/>
      <c r="N38" s="124"/>
      <c r="O38" s="124"/>
      <c r="P38" s="124"/>
      <c r="Q38" s="124"/>
      <c r="R38" s="133"/>
    </row>
    <row r="39" spans="1:18" ht="18.95" customHeight="1" x14ac:dyDescent="0.3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124"/>
      <c r="M39" s="124"/>
      <c r="N39" s="124"/>
      <c r="O39" s="124"/>
      <c r="P39" s="124"/>
      <c r="Q39" s="124"/>
    </row>
    <row r="40" spans="1:18" ht="5.0999999999999996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114"/>
      <c r="M40" s="114"/>
      <c r="N40" s="121"/>
      <c r="O40" s="120"/>
      <c r="P40" s="115"/>
      <c r="Q40" s="71"/>
    </row>
    <row r="41" spans="1:18" ht="20.100000000000001" customHeight="1" x14ac:dyDescent="0.2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4"/>
      <c r="M41" s="71"/>
      <c r="N41" s="71"/>
      <c r="O41" s="71"/>
      <c r="P41" s="116"/>
      <c r="Q41" s="71"/>
    </row>
    <row r="42" spans="1:18" ht="15.6" customHeight="1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117"/>
      <c r="M42" s="71"/>
      <c r="N42" s="71"/>
      <c r="O42" s="71"/>
      <c r="P42" s="117"/>
      <c r="Q42" s="71"/>
      <c r="R42" s="73"/>
    </row>
    <row r="43" spans="1:18" ht="22.5" customHeight="1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118"/>
      <c r="M43" s="71"/>
      <c r="N43" s="71"/>
      <c r="O43" s="71"/>
      <c r="P43" s="119"/>
      <c r="Q43" s="71"/>
    </row>
    <row r="44" spans="1:18" ht="20.100000000000001" customHeight="1" x14ac:dyDescent="0.2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174" t="s">
        <v>54</v>
      </c>
      <c r="M44" s="152" t="s">
        <v>63</v>
      </c>
      <c r="N44" s="152" t="s">
        <v>56</v>
      </c>
      <c r="O44" s="152" t="s">
        <v>64</v>
      </c>
      <c r="P44" s="152" t="s">
        <v>55</v>
      </c>
      <c r="Q44" s="71"/>
    </row>
    <row r="45" spans="1:18" ht="20.100000000000001" customHeight="1" x14ac:dyDescent="0.2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175">
        <f t="shared" ref="L45:L55" si="0">D136</f>
        <v>0</v>
      </c>
      <c r="M45" s="157">
        <v>0</v>
      </c>
      <c r="N45" s="158">
        <f t="shared" ref="N45:N55" si="1">E136</f>
        <v>0</v>
      </c>
      <c r="O45" s="176">
        <v>0</v>
      </c>
      <c r="P45" s="160">
        <f t="shared" ref="P45:P55" si="2">E83</f>
        <v>0</v>
      </c>
      <c r="Q45" s="71"/>
    </row>
    <row r="46" spans="1:18" ht="20.100000000000001" customHeight="1" x14ac:dyDescent="0.2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175">
        <f t="shared" si="0"/>
        <v>313.28151409500003</v>
      </c>
      <c r="M46" s="161">
        <f>DEGREES(ATAN(N46/L46))</f>
        <v>19.161634877981388</v>
      </c>
      <c r="N46" s="158">
        <f t="shared" si="1"/>
        <v>108.86100908623624</v>
      </c>
      <c r="O46" s="163">
        <f>DEGREES(ATAN(P46/L46))</f>
        <v>30.422026998358678</v>
      </c>
      <c r="P46" s="160">
        <f t="shared" si="2"/>
        <v>183.96310492208303</v>
      </c>
      <c r="Q46" s="71"/>
    </row>
    <row r="47" spans="1:18" ht="20.100000000000001" customHeight="1" x14ac:dyDescent="0.2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175">
        <f t="shared" si="0"/>
        <v>522.13585682500002</v>
      </c>
      <c r="M47" s="161">
        <f t="shared" ref="M47:M54" si="3">DEGREES(ATAN(N47/L47))</f>
        <v>17.529303705525788</v>
      </c>
      <c r="N47" s="158">
        <f t="shared" si="1"/>
        <v>164.92244280466562</v>
      </c>
      <c r="O47" s="163">
        <f t="shared" ref="O47:O54" si="4">DEGREES(ATAN(P47/L47))</f>
        <v>28.566323047376248</v>
      </c>
      <c r="P47" s="160">
        <f t="shared" si="2"/>
        <v>284.27971124698348</v>
      </c>
      <c r="Q47" s="71"/>
    </row>
    <row r="48" spans="1:18" ht="20.100000000000001" customHeight="1" x14ac:dyDescent="0.2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175">
        <f t="shared" si="0"/>
        <v>1566.4075704750001</v>
      </c>
      <c r="M48" s="161">
        <f t="shared" si="3"/>
        <v>14.426996029789807</v>
      </c>
      <c r="N48" s="158">
        <f t="shared" si="1"/>
        <v>402.97190018689071</v>
      </c>
      <c r="O48" s="163">
        <f t="shared" si="4"/>
        <v>24.832439337674671</v>
      </c>
      <c r="P48" s="160">
        <f t="shared" si="2"/>
        <v>724.85839763302181</v>
      </c>
      <c r="Q48" s="71"/>
    </row>
    <row r="49" spans="1:17" ht="20.100000000000001" customHeight="1" x14ac:dyDescent="0.2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175">
        <f t="shared" si="0"/>
        <v>3132.8151409500001</v>
      </c>
      <c r="M49" s="161">
        <f t="shared" si="3"/>
        <v>12.73573359613744</v>
      </c>
      <c r="N49" s="158">
        <f t="shared" si="1"/>
        <v>708.06374160986343</v>
      </c>
      <c r="O49" s="163">
        <f t="shared" si="4"/>
        <v>22.667079361092327</v>
      </c>
      <c r="P49" s="160">
        <f t="shared" si="2"/>
        <v>1308.370462342107</v>
      </c>
      <c r="Q49" s="71"/>
    </row>
    <row r="50" spans="1:17" ht="20.100000000000001" customHeight="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175">
        <f t="shared" si="0"/>
        <v>4177.0868546000002</v>
      </c>
      <c r="M50" s="161">
        <f t="shared" si="3"/>
        <v>12.089509382600717</v>
      </c>
      <c r="N50" s="158">
        <f t="shared" si="1"/>
        <v>894.68990330292672</v>
      </c>
      <c r="O50" s="163">
        <f t="shared" si="4"/>
        <v>21.812559147363892</v>
      </c>
      <c r="P50" s="160">
        <f t="shared" si="2"/>
        <v>1671.7777258705928</v>
      </c>
      <c r="Q50" s="71"/>
    </row>
    <row r="51" spans="1:17" ht="20.100000000000001" customHeight="1" x14ac:dyDescent="0.2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175">
        <f t="shared" si="0"/>
        <v>6265.6302819000002</v>
      </c>
      <c r="M51" s="161">
        <f t="shared" si="3"/>
        <v>11.23091613010255</v>
      </c>
      <c r="N51" s="158">
        <f t="shared" si="1"/>
        <v>1244.1419909180786</v>
      </c>
      <c r="O51" s="163">
        <f t="shared" si="4"/>
        <v>20.652183131473226</v>
      </c>
      <c r="P51" s="160">
        <f t="shared" si="2"/>
        <v>2361.6105881082149</v>
      </c>
      <c r="Q51" s="71"/>
    </row>
    <row r="52" spans="1:17" ht="21" customHeight="1" x14ac:dyDescent="0.2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175">
        <f t="shared" si="0"/>
        <v>8354.1737092000003</v>
      </c>
      <c r="M52" s="161">
        <f t="shared" si="3"/>
        <v>10.657124631677098</v>
      </c>
      <c r="N52" s="158">
        <f t="shared" si="1"/>
        <v>1572.0636605664895</v>
      </c>
      <c r="O52" s="163">
        <f t="shared" si="4"/>
        <v>19.859924037540921</v>
      </c>
      <c r="P52" s="160">
        <f t="shared" si="2"/>
        <v>3017.5612275073941</v>
      </c>
      <c r="Q52" s="71"/>
    </row>
    <row r="53" spans="1:17" ht="20.100000000000001" customHeight="1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175">
        <f t="shared" si="0"/>
        <v>10442.717136500001</v>
      </c>
      <c r="M53" s="161">
        <f t="shared" si="3"/>
        <v>10.231411814978513</v>
      </c>
      <c r="N53" s="158">
        <f t="shared" si="1"/>
        <v>1884.8524192489069</v>
      </c>
      <c r="O53" s="163">
        <f t="shared" si="4"/>
        <v>19.262989266466924</v>
      </c>
      <c r="P53" s="160">
        <f t="shared" si="2"/>
        <v>3649.4164215676483</v>
      </c>
      <c r="Q53" s="71"/>
    </row>
    <row r="54" spans="1:17" ht="22.5" customHeight="1" x14ac:dyDescent="0.25">
      <c r="A54" s="71"/>
      <c r="B54" s="71"/>
      <c r="C54" s="71"/>
      <c r="D54" s="71"/>
      <c r="E54" s="177"/>
      <c r="F54" s="177"/>
      <c r="G54" s="181" t="s">
        <v>17</v>
      </c>
      <c r="H54" s="182"/>
      <c r="I54" s="71"/>
      <c r="J54" s="146"/>
      <c r="K54" s="71"/>
      <c r="L54" s="175">
        <f t="shared" si="0"/>
        <v>12531.2605638</v>
      </c>
      <c r="M54" s="161">
        <f t="shared" si="3"/>
        <v>9.8957067209603569</v>
      </c>
      <c r="N54" s="158">
        <f t="shared" si="1"/>
        <v>2186.0874983462618</v>
      </c>
      <c r="O54" s="163">
        <f t="shared" si="4"/>
        <v>18.786565576738326</v>
      </c>
      <c r="P54" s="160">
        <f t="shared" si="2"/>
        <v>4262.7105475012813</v>
      </c>
      <c r="Q54" s="71"/>
    </row>
    <row r="55" spans="1:17" ht="21.95" customHeight="1" x14ac:dyDescent="0.25">
      <c r="A55" s="71"/>
      <c r="B55" s="71"/>
      <c r="C55" s="71"/>
      <c r="D55" s="71"/>
      <c r="E55" s="179" t="s">
        <v>72</v>
      </c>
      <c r="F55" s="180"/>
      <c r="G55" s="151" t="s">
        <v>66</v>
      </c>
      <c r="H55" s="152" t="s">
        <v>67</v>
      </c>
      <c r="I55" s="71"/>
      <c r="J55" s="147"/>
      <c r="K55" s="71"/>
      <c r="L55" s="175">
        <f t="shared" si="0"/>
        <v>14619.803991100001</v>
      </c>
      <c r="M55" s="161">
        <f>DEGREES(ATAN(N55/L55))</f>
        <v>9.6201436582036557</v>
      </c>
      <c r="N55" s="158">
        <f t="shared" si="1"/>
        <v>2478.0420403024987</v>
      </c>
      <c r="O55" s="163">
        <f>DEGREES(ATAN(P55/L55))</f>
        <v>18.391622951887772</v>
      </c>
      <c r="P55" s="160">
        <f t="shared" si="2"/>
        <v>4860.9875453924169</v>
      </c>
      <c r="Q55" s="71"/>
    </row>
    <row r="56" spans="1:17" ht="23.1" customHeight="1" x14ac:dyDescent="0.25">
      <c r="A56" s="71"/>
      <c r="B56" s="71"/>
      <c r="C56" s="71"/>
      <c r="D56" s="71"/>
      <c r="E56" s="179" t="s">
        <v>65</v>
      </c>
      <c r="F56" s="180"/>
      <c r="G56" s="153">
        <v>30</v>
      </c>
      <c r="H56" s="154">
        <v>80</v>
      </c>
      <c r="I56" s="71"/>
      <c r="J56" s="148"/>
      <c r="K56" s="71"/>
      <c r="L56" s="71"/>
      <c r="M56" s="71"/>
      <c r="N56" s="71"/>
      <c r="O56" s="71"/>
      <c r="P56" s="71"/>
      <c r="Q56" s="71"/>
    </row>
    <row r="57" spans="1:17" ht="21.95" customHeight="1" x14ac:dyDescent="0.25">
      <c r="A57" s="71"/>
      <c r="B57" s="71"/>
      <c r="C57" s="71"/>
      <c r="D57" s="71"/>
      <c r="E57" s="179" t="s">
        <v>68</v>
      </c>
      <c r="F57" s="180"/>
      <c r="G57" s="153">
        <v>30</v>
      </c>
      <c r="H57" s="154">
        <v>130</v>
      </c>
      <c r="I57" s="71"/>
      <c r="J57" s="148"/>
      <c r="K57" s="71"/>
      <c r="L57" s="139"/>
      <c r="M57" s="140"/>
      <c r="N57" s="141"/>
      <c r="O57" s="142"/>
      <c r="P57" s="143"/>
      <c r="Q57" s="71"/>
    </row>
    <row r="58" spans="1:17" ht="21.95" customHeight="1" x14ac:dyDescent="0.45">
      <c r="A58" s="71"/>
      <c r="B58" s="71"/>
      <c r="C58" s="71"/>
      <c r="D58" s="71"/>
      <c r="E58" s="179" t="s">
        <v>69</v>
      </c>
      <c r="F58" s="180"/>
      <c r="G58" s="153">
        <v>30</v>
      </c>
      <c r="H58" s="154">
        <v>300</v>
      </c>
      <c r="I58" s="71"/>
      <c r="J58" s="148"/>
      <c r="K58" s="71"/>
      <c r="L58" s="71"/>
      <c r="M58" s="188" t="s">
        <v>22</v>
      </c>
      <c r="N58" s="189"/>
      <c r="O58" s="189"/>
      <c r="P58" s="71"/>
      <c r="Q58" s="71"/>
    </row>
    <row r="59" spans="1:17" hidden="1" x14ac:dyDescent="0.25"/>
    <row r="60" spans="1:17" ht="18.75" hidden="1" x14ac:dyDescent="0.3">
      <c r="B60" s="183" t="s">
        <v>39</v>
      </c>
      <c r="C60" s="184"/>
      <c r="D60" s="184"/>
      <c r="E60" s="184"/>
      <c r="F60" s="184"/>
      <c r="G60" s="184"/>
      <c r="H60" s="184"/>
      <c r="I60" s="185"/>
    </row>
    <row r="61" spans="1:17" hidden="1" x14ac:dyDescent="0.25">
      <c r="B61" t="s">
        <v>30</v>
      </c>
      <c r="C61">
        <f>IF(AND(B5&gt;=30,B5&lt;=80),-0.0014*(B5)+0.6656,0)</f>
        <v>0.56759999999999999</v>
      </c>
      <c r="D61"/>
      <c r="E61">
        <f>IF(AND(B5&gt;=30,B5&lt;=130),-0.0015*B5+0.6149,0)</f>
        <v>0.50990000000000002</v>
      </c>
      <c r="F61"/>
      <c r="G61">
        <f>IF(AND(B5&gt;=30,B5&lt;=300),-0.0016*B5+0.5546,0)</f>
        <v>0.44259999999999999</v>
      </c>
      <c r="H61"/>
      <c r="I61"/>
      <c r="J61"/>
      <c r="K61"/>
      <c r="L61"/>
      <c r="M61"/>
      <c r="N61"/>
      <c r="O61"/>
      <c r="P61"/>
    </row>
    <row r="62" spans="1:17" hidden="1" x14ac:dyDescent="0.25">
      <c r="B62" t="s">
        <v>31</v>
      </c>
      <c r="C62">
        <v>0.96</v>
      </c>
      <c r="D62"/>
      <c r="E62">
        <v>0.90500000000000003</v>
      </c>
      <c r="F62"/>
      <c r="G62">
        <v>0.85199999999999998</v>
      </c>
      <c r="H62"/>
      <c r="I62"/>
      <c r="J62"/>
      <c r="K62"/>
      <c r="L62"/>
      <c r="M62"/>
      <c r="N62"/>
      <c r="O62"/>
      <c r="P62"/>
    </row>
    <row r="63" spans="1:17" hidden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hidden="1" x14ac:dyDescent="0.25">
      <c r="B64" s="103" t="s">
        <v>29</v>
      </c>
      <c r="C64" s="103" t="s">
        <v>40</v>
      </c>
      <c r="D64" s="103"/>
      <c r="E64" s="103" t="s">
        <v>41</v>
      </c>
      <c r="F64" s="103"/>
      <c r="G64" s="103" t="s">
        <v>42</v>
      </c>
      <c r="H64"/>
      <c r="I64"/>
      <c r="J64"/>
      <c r="K64"/>
      <c r="L64"/>
      <c r="M64"/>
      <c r="N64"/>
      <c r="O64"/>
      <c r="P64"/>
    </row>
    <row r="65" spans="2:16" hidden="1" x14ac:dyDescent="0.25">
      <c r="B65" s="104">
        <v>40</v>
      </c>
      <c r="C65" s="102">
        <v>0.61209999999999998</v>
      </c>
      <c r="D65"/>
      <c r="E65" s="102">
        <v>0.56240000000000001</v>
      </c>
      <c r="F65"/>
      <c r="G65" s="102">
        <v>0.49959999999999999</v>
      </c>
      <c r="H65"/>
      <c r="I65"/>
      <c r="J65"/>
      <c r="K65"/>
      <c r="L65"/>
      <c r="M65"/>
      <c r="N65"/>
      <c r="O65"/>
      <c r="P65"/>
    </row>
    <row r="66" spans="2:16" hidden="1" x14ac:dyDescent="0.25">
      <c r="B66" s="104">
        <v>50</v>
      </c>
      <c r="C66" s="102">
        <v>0.59660000000000002</v>
      </c>
      <c r="D66"/>
      <c r="E66" s="102">
        <v>0.5413</v>
      </c>
      <c r="F66"/>
      <c r="G66" s="102">
        <v>0.4773</v>
      </c>
      <c r="H66"/>
      <c r="I66"/>
      <c r="J66"/>
      <c r="K66"/>
      <c r="L66"/>
      <c r="M66"/>
      <c r="N66"/>
      <c r="O66"/>
      <c r="P66"/>
    </row>
    <row r="67" spans="2:16" hidden="1" x14ac:dyDescent="0.25">
      <c r="B67" s="104">
        <v>60</v>
      </c>
      <c r="C67" s="102">
        <v>0.58169999999999999</v>
      </c>
      <c r="D67"/>
      <c r="E67" s="102">
        <v>0.52239999999999998</v>
      </c>
      <c r="F67"/>
      <c r="G67" s="102">
        <v>0.45729999999999998</v>
      </c>
      <c r="H67"/>
      <c r="I67"/>
      <c r="J67"/>
      <c r="K67"/>
      <c r="L67"/>
      <c r="M67"/>
      <c r="N67"/>
      <c r="O67"/>
      <c r="P67"/>
    </row>
    <row r="68" spans="2:16" hidden="1" x14ac:dyDescent="0.25">
      <c r="B68" s="104">
        <v>70</v>
      </c>
      <c r="C68" s="102">
        <v>0.56940000000000002</v>
      </c>
      <c r="D68"/>
      <c r="E68" s="102">
        <v>0.50360000000000005</v>
      </c>
      <c r="F68"/>
      <c r="G68" s="102">
        <v>0.43890000000000001</v>
      </c>
      <c r="H68"/>
      <c r="I68"/>
      <c r="J68"/>
      <c r="K68"/>
      <c r="L68"/>
      <c r="M68"/>
      <c r="N68"/>
      <c r="O68"/>
      <c r="P68"/>
    </row>
    <row r="69" spans="2:16" hidden="1" x14ac:dyDescent="0.25">
      <c r="B69" s="104">
        <v>75</v>
      </c>
      <c r="C69" s="102">
        <v>0.5645</v>
      </c>
      <c r="D69"/>
      <c r="E69" s="102">
        <v>0.49509999999999998</v>
      </c>
      <c r="F69"/>
      <c r="G69" s="102">
        <v>0.43020000000000003</v>
      </c>
      <c r="H69"/>
      <c r="I69"/>
      <c r="J69"/>
      <c r="K69"/>
      <c r="L69"/>
      <c r="M69"/>
      <c r="N69"/>
      <c r="O69"/>
      <c r="P69"/>
    </row>
    <row r="70" spans="2:16" hidden="1" x14ac:dyDescent="0.25">
      <c r="B70" s="104">
        <v>80</v>
      </c>
      <c r="C70"/>
      <c r="D70"/>
      <c r="E70" s="102">
        <v>0.48720000000000002</v>
      </c>
      <c r="F70"/>
      <c r="G70" s="102">
        <v>0.4219</v>
      </c>
      <c r="H70"/>
      <c r="I70"/>
      <c r="J70"/>
      <c r="K70"/>
      <c r="L70"/>
      <c r="M70"/>
      <c r="N70"/>
      <c r="O70"/>
      <c r="P70"/>
    </row>
    <row r="71" spans="2:16" hidden="1" x14ac:dyDescent="0.25">
      <c r="B71" s="104">
        <v>90</v>
      </c>
      <c r="C71"/>
      <c r="D71"/>
      <c r="E71" s="102">
        <v>0.47220000000000001</v>
      </c>
      <c r="F71"/>
      <c r="G71" s="102">
        <v>0.40539999999999998</v>
      </c>
      <c r="H71"/>
      <c r="I71"/>
      <c r="J71"/>
      <c r="K71"/>
      <c r="L71"/>
      <c r="M71"/>
      <c r="N71"/>
      <c r="O71"/>
      <c r="P71"/>
    </row>
    <row r="72" spans="2:16" hidden="1" x14ac:dyDescent="0.25">
      <c r="B72" s="104">
        <v>100</v>
      </c>
      <c r="C72"/>
      <c r="D72"/>
      <c r="E72" s="102">
        <v>0.45810000000000001</v>
      </c>
      <c r="F72"/>
      <c r="G72" s="102">
        <v>0.3906</v>
      </c>
      <c r="H72"/>
      <c r="I72"/>
      <c r="J72"/>
      <c r="K72"/>
      <c r="L72"/>
      <c r="M72"/>
      <c r="N72"/>
      <c r="O72"/>
      <c r="P72"/>
    </row>
    <row r="73" spans="2:16" hidden="1" x14ac:dyDescent="0.25">
      <c r="B73" s="104">
        <v>110</v>
      </c>
      <c r="C73"/>
      <c r="D73"/>
      <c r="E73" s="102">
        <v>0.4451</v>
      </c>
      <c r="F73"/>
      <c r="G73" s="102">
        <v>0.37819999999999998</v>
      </c>
      <c r="H73"/>
      <c r="I73"/>
      <c r="J73"/>
      <c r="K73"/>
      <c r="L73"/>
      <c r="M73"/>
      <c r="N73"/>
      <c r="O73"/>
      <c r="P73"/>
    </row>
    <row r="74" spans="2:16" hidden="1" x14ac:dyDescent="0.25">
      <c r="B74" s="104">
        <v>120</v>
      </c>
      <c r="C74"/>
      <c r="D74"/>
      <c r="E74" s="102">
        <v>0.43340000000000001</v>
      </c>
      <c r="F74"/>
      <c r="G74" s="102">
        <v>0.36559999999999998</v>
      </c>
      <c r="H74"/>
      <c r="I74"/>
      <c r="J74"/>
      <c r="K74"/>
      <c r="L74"/>
      <c r="M74"/>
      <c r="N74"/>
      <c r="O74"/>
      <c r="P74"/>
    </row>
    <row r="75" spans="2:16" hidden="1" x14ac:dyDescent="0.25">
      <c r="B75" s="104">
        <v>130</v>
      </c>
      <c r="C75"/>
      <c r="D75"/>
      <c r="E75" s="102">
        <v>0.42370000000000002</v>
      </c>
      <c r="F75"/>
      <c r="G75" s="102">
        <v>0.35370000000000001</v>
      </c>
      <c r="H75"/>
      <c r="I75"/>
      <c r="J75"/>
      <c r="K75"/>
      <c r="L75"/>
      <c r="M75"/>
      <c r="N75"/>
      <c r="O75"/>
      <c r="P75"/>
    </row>
    <row r="76" spans="2:16" hidden="1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2:16" hidden="1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2:16" hidden="1" x14ac:dyDescent="0.25">
      <c r="B78" s="112" t="s">
        <v>30</v>
      </c>
      <c r="C78" s="112">
        <f>IF(C5&lt;=20,C61,IF(AND(C5&gt;20,C5&lt;=45),E61,G61))</f>
        <v>0.44259999999999999</v>
      </c>
      <c r="E78" s="110" t="s">
        <v>32</v>
      </c>
      <c r="F78" s="111">
        <v>101.325</v>
      </c>
      <c r="G78" s="110" t="s">
        <v>33</v>
      </c>
      <c r="I78"/>
      <c r="J78"/>
      <c r="K78"/>
      <c r="L78"/>
      <c r="M78"/>
      <c r="N78"/>
      <c r="O78"/>
      <c r="P78"/>
    </row>
    <row r="79" spans="2:16" hidden="1" x14ac:dyDescent="0.25">
      <c r="B79" s="106" t="s">
        <v>31</v>
      </c>
      <c r="C79" s="106">
        <f>IF(C5&lt;=20,C62,IF(AND(C5&gt;20,C5&lt;=45),E62,G62))</f>
        <v>0.85199999999999998</v>
      </c>
      <c r="F79" s="1">
        <v>2115.6999999999998</v>
      </c>
      <c r="G79" s="1" t="s">
        <v>57</v>
      </c>
    </row>
    <row r="80" spans="2:16" hidden="1" x14ac:dyDescent="0.25"/>
    <row r="81" spans="2:22" ht="18.75" hidden="1" x14ac:dyDescent="0.3">
      <c r="B81" s="183" t="s">
        <v>43</v>
      </c>
      <c r="C81" s="184"/>
      <c r="D81" s="184"/>
      <c r="E81" s="184"/>
      <c r="F81" s="184"/>
      <c r="G81" s="184"/>
      <c r="H81" s="184"/>
      <c r="I81" s="185"/>
    </row>
    <row r="82" spans="2:22" hidden="1" x14ac:dyDescent="0.25">
      <c r="B82" s="105" t="s">
        <v>34</v>
      </c>
      <c r="C82" s="109" t="s">
        <v>35</v>
      </c>
      <c r="D82" s="105" t="s">
        <v>58</v>
      </c>
      <c r="E82" s="109" t="s">
        <v>59</v>
      </c>
    </row>
    <row r="83" spans="2:22" hidden="1" x14ac:dyDescent="0.25">
      <c r="B83" s="107">
        <v>0</v>
      </c>
      <c r="C83" s="108">
        <f t="shared" ref="C83:C90" si="5">$C$78*$F$78*(B83/$F$78)^$C$79</f>
        <v>0</v>
      </c>
      <c r="D83" s="1">
        <f>B83*20.885434273</f>
        <v>0</v>
      </c>
      <c r="E83" s="1">
        <f>C83*20.885434273</f>
        <v>0</v>
      </c>
    </row>
    <row r="84" spans="2:22" hidden="1" x14ac:dyDescent="0.25">
      <c r="B84" s="107">
        <v>15</v>
      </c>
      <c r="C84" s="108">
        <f t="shared" si="5"/>
        <v>8.8082010896897867</v>
      </c>
      <c r="D84" s="1">
        <f t="shared" ref="D84:D90" si="6">B84*20.885434273</f>
        <v>313.28151409500003</v>
      </c>
      <c r="E84" s="1">
        <f t="shared" ref="E84:E90" si="7">C84*20.885434273</f>
        <v>183.96310492208303</v>
      </c>
    </row>
    <row r="85" spans="2:22" hidden="1" x14ac:dyDescent="0.25">
      <c r="B85" s="107">
        <v>25</v>
      </c>
      <c r="C85" s="108">
        <f t="shared" si="5"/>
        <v>13.611386171389832</v>
      </c>
      <c r="D85" s="1">
        <f t="shared" si="6"/>
        <v>522.13585682500002</v>
      </c>
      <c r="E85" s="1">
        <f t="shared" si="7"/>
        <v>284.27971124698348</v>
      </c>
    </row>
    <row r="86" spans="2:22" hidden="1" x14ac:dyDescent="0.25">
      <c r="B86" s="107">
        <v>75</v>
      </c>
      <c r="C86" s="108">
        <f t="shared" si="5"/>
        <v>34.706407736519743</v>
      </c>
      <c r="D86" s="1">
        <f t="shared" si="6"/>
        <v>1566.4075704750001</v>
      </c>
      <c r="E86" s="1">
        <f t="shared" si="7"/>
        <v>724.85839763302181</v>
      </c>
    </row>
    <row r="87" spans="2:22" hidden="1" x14ac:dyDescent="0.25">
      <c r="B87" s="107">
        <v>150</v>
      </c>
      <c r="C87" s="108">
        <f t="shared" si="5"/>
        <v>62.645116459633542</v>
      </c>
      <c r="D87" s="1">
        <f t="shared" si="6"/>
        <v>3132.8151409500001</v>
      </c>
      <c r="E87" s="1">
        <f t="shared" si="7"/>
        <v>1308.370462342107</v>
      </c>
    </row>
    <row r="88" spans="2:22" hidden="1" x14ac:dyDescent="0.25">
      <c r="B88" s="107">
        <v>200</v>
      </c>
      <c r="C88" s="108">
        <f t="shared" si="5"/>
        <v>80.045150319512956</v>
      </c>
      <c r="D88" s="1">
        <f t="shared" si="6"/>
        <v>4177.0868546000002</v>
      </c>
      <c r="E88" s="1">
        <f t="shared" si="7"/>
        <v>1671.7777258705928</v>
      </c>
    </row>
    <row r="89" spans="2:22" hidden="1" x14ac:dyDescent="0.25">
      <c r="B89" s="107">
        <v>300</v>
      </c>
      <c r="C89" s="108">
        <f t="shared" si="5"/>
        <v>113.07452635357585</v>
      </c>
      <c r="D89" s="1">
        <f t="shared" si="6"/>
        <v>6265.6302819000002</v>
      </c>
      <c r="E89" s="1">
        <f t="shared" si="7"/>
        <v>2361.6105881082149</v>
      </c>
    </row>
    <row r="90" spans="2:22" hidden="1" x14ac:dyDescent="0.25">
      <c r="B90" s="107">
        <v>400</v>
      </c>
      <c r="C90" s="108">
        <f t="shared" si="5"/>
        <v>144.48161278640001</v>
      </c>
      <c r="D90" s="1">
        <f t="shared" si="6"/>
        <v>8354.1737092000003</v>
      </c>
      <c r="E90" s="1">
        <f t="shared" si="7"/>
        <v>3017.5612275073941</v>
      </c>
    </row>
    <row r="91" spans="2:22" hidden="1" x14ac:dyDescent="0.25">
      <c r="B91" s="107">
        <v>500</v>
      </c>
      <c r="C91" s="108">
        <f>$C$78*$F$78*(B91/$F$78)^$C$79</f>
        <v>174.7350030583512</v>
      </c>
      <c r="D91" s="1">
        <f t="shared" ref="D91:E93" si="8">B91*20.885434273</f>
        <v>10442.717136500001</v>
      </c>
      <c r="E91" s="1">
        <f t="shared" si="8"/>
        <v>3649.4164215676483</v>
      </c>
    </row>
    <row r="92" spans="2:22" hidden="1" x14ac:dyDescent="0.25">
      <c r="B92" s="107">
        <v>600</v>
      </c>
      <c r="C92" s="108">
        <f>$C$78*$F$78*(B92/$F$78)^$C$79</f>
        <v>204.09968458314381</v>
      </c>
      <c r="D92" s="1">
        <f t="shared" si="8"/>
        <v>12531.2605638</v>
      </c>
      <c r="E92" s="1">
        <f t="shared" si="8"/>
        <v>4262.7105475012813</v>
      </c>
    </row>
    <row r="93" spans="2:22" hidden="1" x14ac:dyDescent="0.25">
      <c r="B93" s="107">
        <v>700</v>
      </c>
      <c r="C93" s="108">
        <f>$C$78*$F$78*(B93/$F$78)^$C$79</f>
        <v>232.74534212949266</v>
      </c>
      <c r="D93" s="1">
        <f t="shared" si="8"/>
        <v>14619.803991100001</v>
      </c>
      <c r="E93" s="1">
        <f t="shared" si="8"/>
        <v>4860.9875453924169</v>
      </c>
    </row>
    <row r="94" spans="2:22" hidden="1" x14ac:dyDescent="0.25">
      <c r="N94" s="62">
        <f>0.5*(0.0023+0.004)</f>
        <v>3.15E-3</v>
      </c>
    </row>
    <row r="95" spans="2:22" ht="15.6" hidden="1" customHeight="1" x14ac:dyDescent="0.25">
      <c r="B95" s="125"/>
      <c r="C95"/>
      <c r="D95"/>
      <c r="E95"/>
      <c r="F95"/>
      <c r="G95"/>
      <c r="H95"/>
      <c r="I95"/>
      <c r="J95"/>
      <c r="K95" s="125"/>
      <c r="L95"/>
      <c r="M95"/>
      <c r="N95"/>
      <c r="O95"/>
      <c r="P95"/>
      <c r="Q95"/>
      <c r="R95"/>
      <c r="S95"/>
      <c r="T95"/>
      <c r="U95"/>
      <c r="V95"/>
    </row>
    <row r="96" spans="2:22" hidden="1" x14ac:dyDescent="0.25">
      <c r="B96" s="125"/>
      <c r="C96"/>
      <c r="D96"/>
      <c r="E96"/>
      <c r="F96"/>
      <c r="G96"/>
      <c r="H96"/>
      <c r="I96"/>
      <c r="J96"/>
      <c r="K96" s="125"/>
      <c r="L96"/>
      <c r="M96"/>
      <c r="N96"/>
      <c r="O96"/>
      <c r="P96"/>
      <c r="Q96"/>
      <c r="R96"/>
      <c r="S96"/>
      <c r="T96"/>
      <c r="U96"/>
      <c r="V96"/>
    </row>
    <row r="97" spans="2:22" hidden="1" x14ac:dyDescent="0.25">
      <c r="B97" s="125"/>
      <c r="C97"/>
      <c r="D97"/>
      <c r="E97"/>
      <c r="F97"/>
      <c r="G97"/>
      <c r="H97"/>
      <c r="I97"/>
      <c r="J97"/>
      <c r="K97" s="125"/>
      <c r="L97"/>
      <c r="M97"/>
      <c r="N97"/>
      <c r="O97"/>
      <c r="P97"/>
      <c r="Q97"/>
      <c r="R97"/>
      <c r="S97"/>
      <c r="T97"/>
      <c r="U97"/>
      <c r="V97"/>
    </row>
    <row r="98" spans="2:22" ht="18.75" hidden="1" x14ac:dyDescent="0.3">
      <c r="B98" s="183" t="s">
        <v>52</v>
      </c>
      <c r="C98" s="184"/>
      <c r="D98" s="184"/>
      <c r="E98" s="184"/>
      <c r="F98" s="184"/>
      <c r="G98" s="184"/>
      <c r="H98" s="184"/>
      <c r="I98" s="185"/>
      <c r="J98"/>
      <c r="K98" s="125"/>
      <c r="L98"/>
      <c r="M98"/>
      <c r="N98"/>
      <c r="O98"/>
      <c r="P98"/>
      <c r="Q98"/>
      <c r="R98"/>
      <c r="S98"/>
      <c r="T98"/>
      <c r="U98"/>
      <c r="V98"/>
    </row>
    <row r="99" spans="2:22" hidden="1" x14ac:dyDescent="0.25">
      <c r="B99" s="112" t="s">
        <v>30</v>
      </c>
      <c r="C99">
        <f>IF(AND(B5&gt;=30,B5&lt;=80),3*10^-5*(B5)^2-0.008*B5+0.8047,0)</f>
        <v>0.39169999999999994</v>
      </c>
      <c r="D99"/>
      <c r="E99">
        <f>IF(AND(B5&gt;=30,B5&lt;=130),3*10^-5*(B5)^2-0.0076*B5+0.7448,0)</f>
        <v>0.35980000000000001</v>
      </c>
      <c r="F99"/>
      <c r="H99">
        <f>IF(AND(B5&gt;=30,B5&lt;=300),3*10^-5*(B5)^2-0.0077*B5+0.6352,0)</f>
        <v>0.24319999999999997</v>
      </c>
      <c r="I99"/>
      <c r="J99"/>
      <c r="K99" s="125"/>
      <c r="L99"/>
      <c r="M99"/>
      <c r="N99"/>
      <c r="O99"/>
      <c r="P99"/>
      <c r="Q99"/>
      <c r="R99"/>
      <c r="S99"/>
      <c r="T99"/>
      <c r="U99"/>
      <c r="V99"/>
    </row>
    <row r="100" spans="2:22" hidden="1" x14ac:dyDescent="0.25">
      <c r="B100" s="132" t="s">
        <v>31</v>
      </c>
      <c r="C100">
        <f>IF(AND(B5&gt;=30,B5&lt;=80),2*10^-5*(B5)^2-0.0023*B5+1.0261,0)</f>
        <v>0.96310000000000007</v>
      </c>
      <c r="D100"/>
      <c r="E100">
        <f>IF(AND(B5&gt;=30,B5&lt;=130),2*10^-5*(B5)^2-0.005*B5+0.997,0)</f>
        <v>0.745</v>
      </c>
      <c r="F100"/>
      <c r="H100">
        <f>IF(AND(B5&gt;=30,B5&lt;300),3*10^-5*(B5)^2-0.0059*B5+1.0792,0)</f>
        <v>0.81319999999999992</v>
      </c>
      <c r="I100"/>
      <c r="J100"/>
      <c r="K100" s="125"/>
      <c r="L100"/>
      <c r="M100"/>
      <c r="N100"/>
      <c r="O100"/>
      <c r="P100"/>
      <c r="Q100"/>
      <c r="R100"/>
      <c r="S100"/>
      <c r="T100"/>
      <c r="U100"/>
      <c r="V100"/>
    </row>
    <row r="101" spans="2:22" hidden="1" x14ac:dyDescent="0.25">
      <c r="B101" s="125"/>
      <c r="C101"/>
      <c r="D101"/>
      <c r="E101"/>
      <c r="F101"/>
      <c r="G101"/>
      <c r="H101"/>
      <c r="I101"/>
      <c r="J101"/>
      <c r="K101" s="125"/>
      <c r="L101"/>
      <c r="M101"/>
      <c r="N101"/>
      <c r="O101"/>
      <c r="P101"/>
      <c r="Q101"/>
      <c r="R101"/>
      <c r="S101"/>
      <c r="T101"/>
      <c r="U101"/>
      <c r="V101"/>
    </row>
    <row r="102" spans="2:22" hidden="1" x14ac:dyDescent="0.25">
      <c r="B102" s="125"/>
      <c r="C102"/>
      <c r="D102"/>
      <c r="E102"/>
      <c r="F102"/>
      <c r="G102"/>
      <c r="H102"/>
      <c r="I102"/>
      <c r="J102"/>
      <c r="K102" s="125"/>
      <c r="L102"/>
      <c r="M102"/>
      <c r="N102"/>
      <c r="O102"/>
      <c r="P102"/>
      <c r="Q102"/>
      <c r="R102"/>
      <c r="S102"/>
      <c r="T102"/>
      <c r="U102"/>
      <c r="V102"/>
    </row>
    <row r="103" spans="2:22" hidden="1" x14ac:dyDescent="0.25">
      <c r="B103" s="186" t="s">
        <v>48</v>
      </c>
      <c r="C103" s="187"/>
      <c r="D103" s="126"/>
      <c r="E103" s="187" t="s">
        <v>49</v>
      </c>
      <c r="F103" s="187"/>
      <c r="G103" s="126"/>
      <c r="H103" s="187" t="s">
        <v>50</v>
      </c>
      <c r="I103" s="187"/>
      <c r="J103"/>
      <c r="K103" s="125"/>
      <c r="L103"/>
      <c r="M103"/>
      <c r="N103"/>
      <c r="O103"/>
      <c r="P103"/>
      <c r="Q103"/>
      <c r="R103"/>
      <c r="S103"/>
      <c r="T103"/>
      <c r="U103"/>
      <c r="V103"/>
    </row>
    <row r="104" spans="2:22" hidden="1" x14ac:dyDescent="0.25">
      <c r="B104" s="127" t="s">
        <v>30</v>
      </c>
      <c r="C104" s="128" t="s">
        <v>31</v>
      </c>
      <c r="D104" s="128"/>
      <c r="E104" s="128" t="s">
        <v>30</v>
      </c>
      <c r="F104" s="128" t="s">
        <v>31</v>
      </c>
      <c r="G104" s="128"/>
      <c r="H104" s="128" t="s">
        <v>30</v>
      </c>
      <c r="I104" s="128" t="s">
        <v>31</v>
      </c>
      <c r="J104"/>
      <c r="K104" s="125"/>
      <c r="L104"/>
      <c r="M104"/>
      <c r="N104"/>
      <c r="O104"/>
      <c r="P104"/>
      <c r="Q104"/>
      <c r="R104"/>
      <c r="S104"/>
      <c r="T104"/>
      <c r="U104"/>
      <c r="V104"/>
    </row>
    <row r="105" spans="2:22" hidden="1" x14ac:dyDescent="0.25">
      <c r="B105">
        <v>0.54369999999999996</v>
      </c>
      <c r="C105" s="125">
        <v>0.95940000000000003</v>
      </c>
      <c r="D105" s="129"/>
      <c r="E105">
        <v>0.4657</v>
      </c>
      <c r="F105" s="125">
        <v>0.87060000000000004</v>
      </c>
      <c r="G105" s="129"/>
      <c r="H105">
        <v>0.37519999999999998</v>
      </c>
      <c r="I105" s="125">
        <v>0.87890000000000001</v>
      </c>
      <c r="J105"/>
      <c r="K105" s="125"/>
      <c r="L105"/>
      <c r="M105"/>
      <c r="N105"/>
      <c r="O105"/>
      <c r="P105"/>
      <c r="Q105"/>
      <c r="R105"/>
      <c r="S105"/>
      <c r="T105"/>
      <c r="U105"/>
      <c r="V105"/>
    </row>
    <row r="106" spans="2:22" hidden="1" x14ac:dyDescent="0.25">
      <c r="B106">
        <v>0.49070000000000003</v>
      </c>
      <c r="C106" s="125">
        <v>0.95189999999999997</v>
      </c>
      <c r="D106" s="129"/>
      <c r="E106">
        <v>0.4199</v>
      </c>
      <c r="F106" s="125">
        <v>0.85899999999999999</v>
      </c>
      <c r="G106" s="129"/>
      <c r="H106">
        <v>0.32700000000000001</v>
      </c>
      <c r="I106" s="125">
        <v>0.8609</v>
      </c>
      <c r="J106"/>
      <c r="K106" s="125"/>
      <c r="L106"/>
      <c r="M106"/>
      <c r="N106"/>
      <c r="O106"/>
      <c r="P106"/>
      <c r="Q106"/>
      <c r="R106"/>
      <c r="S106"/>
      <c r="T106"/>
      <c r="U106"/>
      <c r="V106"/>
    </row>
    <row r="107" spans="2:22" hidden="1" x14ac:dyDescent="0.25">
      <c r="B107">
        <v>0.44409999999999999</v>
      </c>
      <c r="C107" s="125">
        <v>0.94640000000000002</v>
      </c>
      <c r="D107" s="129"/>
      <c r="E107">
        <v>0.374</v>
      </c>
      <c r="F107" s="125">
        <v>0.84770000000000001</v>
      </c>
      <c r="G107" s="129"/>
      <c r="H107">
        <v>0.28349999999999997</v>
      </c>
      <c r="I107" s="125">
        <v>0.84040000000000004</v>
      </c>
      <c r="J107"/>
      <c r="K107" s="125"/>
      <c r="L107"/>
      <c r="M107"/>
      <c r="N107"/>
      <c r="O107"/>
      <c r="P107"/>
      <c r="Q107"/>
      <c r="R107"/>
      <c r="S107"/>
      <c r="T107"/>
      <c r="U107"/>
      <c r="V107"/>
    </row>
    <row r="108" spans="2:22" hidden="1" x14ac:dyDescent="0.25">
      <c r="B108">
        <v>0.40229999999999999</v>
      </c>
      <c r="C108" s="125">
        <v>0.9446</v>
      </c>
      <c r="D108" s="129"/>
      <c r="E108">
        <v>0.32829999999999998</v>
      </c>
      <c r="F108" s="125">
        <v>0.83950000000000002</v>
      </c>
      <c r="G108" s="129"/>
      <c r="H108">
        <v>0.2455</v>
      </c>
      <c r="I108" s="125">
        <v>0.81669999999999998</v>
      </c>
      <c r="J108"/>
      <c r="K108" s="125"/>
      <c r="L108"/>
      <c r="M108"/>
      <c r="N108"/>
      <c r="O108"/>
      <c r="P108"/>
      <c r="Q108"/>
      <c r="R108"/>
      <c r="S108"/>
      <c r="T108"/>
      <c r="U108"/>
      <c r="V108"/>
    </row>
    <row r="109" spans="2:22" hidden="1" x14ac:dyDescent="0.25">
      <c r="B109">
        <v>0.38250000000000001</v>
      </c>
      <c r="C109" s="125">
        <v>0.94599999999999995</v>
      </c>
      <c r="D109" s="129"/>
      <c r="E109">
        <v>0.30620000000000003</v>
      </c>
      <c r="F109" s="125">
        <v>0.83730000000000004</v>
      </c>
      <c r="G109" s="129"/>
      <c r="H109">
        <v>0.22819999999999999</v>
      </c>
      <c r="I109" s="125">
        <v>0.80569999999999997</v>
      </c>
      <c r="J109"/>
      <c r="K109" s="125"/>
      <c r="L109"/>
      <c r="M109"/>
      <c r="N109"/>
      <c r="O109"/>
      <c r="P109"/>
      <c r="Q109"/>
      <c r="R109"/>
      <c r="S109"/>
      <c r="T109"/>
      <c r="U109"/>
      <c r="V109"/>
    </row>
    <row r="110" spans="2:22" hidden="1" x14ac:dyDescent="0.25">
      <c r="B110" s="130" t="s">
        <v>51</v>
      </c>
      <c r="C110" s="130" t="s">
        <v>51</v>
      </c>
      <c r="D110" s="130"/>
      <c r="E110">
        <v>0.28549999999999998</v>
      </c>
      <c r="F110" s="125">
        <v>0.83499999999999996</v>
      </c>
      <c r="G110" s="129"/>
      <c r="H110">
        <v>0.2132</v>
      </c>
      <c r="I110" s="125">
        <v>0.79210000000000003</v>
      </c>
      <c r="J110"/>
      <c r="K110" s="125"/>
      <c r="L110"/>
      <c r="M110"/>
      <c r="N110"/>
      <c r="O110"/>
      <c r="P110"/>
      <c r="Q110"/>
      <c r="R110"/>
      <c r="S110"/>
      <c r="T110"/>
      <c r="U110"/>
      <c r="V110"/>
    </row>
    <row r="111" spans="2:22" hidden="1" x14ac:dyDescent="0.25">
      <c r="B111" s="130" t="s">
        <v>51</v>
      </c>
      <c r="C111" s="130" t="s">
        <v>51</v>
      </c>
      <c r="D111" s="130"/>
      <c r="E111">
        <v>0.24779999999999999</v>
      </c>
      <c r="F111" s="125">
        <v>0.83189999999999997</v>
      </c>
      <c r="G111" s="129"/>
      <c r="H111">
        <v>0.18659999999999999</v>
      </c>
      <c r="I111" s="125">
        <v>0.77249999999999996</v>
      </c>
      <c r="J111"/>
      <c r="K111" s="125"/>
      <c r="L111"/>
      <c r="M111"/>
      <c r="N111"/>
      <c r="O111"/>
      <c r="P111"/>
      <c r="Q111"/>
      <c r="R111"/>
      <c r="S111"/>
      <c r="T111"/>
      <c r="U111"/>
      <c r="V111"/>
    </row>
    <row r="112" spans="2:22" hidden="1" x14ac:dyDescent="0.25">
      <c r="B112" s="130" t="s">
        <v>51</v>
      </c>
      <c r="C112" s="130" t="s">
        <v>51</v>
      </c>
      <c r="D112" s="130"/>
      <c r="E112">
        <v>0.2155</v>
      </c>
      <c r="F112" s="125">
        <v>0.83760000000000001</v>
      </c>
      <c r="G112" s="129"/>
      <c r="H112">
        <v>0.16619999999999999</v>
      </c>
      <c r="I112" s="125">
        <v>0.76500000000000001</v>
      </c>
      <c r="J112"/>
      <c r="K112" s="125"/>
      <c r="L112"/>
      <c r="M112"/>
      <c r="N112"/>
      <c r="O112"/>
      <c r="P112"/>
      <c r="Q112"/>
      <c r="R112"/>
      <c r="S112"/>
      <c r="T112"/>
      <c r="U112"/>
      <c r="V112"/>
    </row>
    <row r="113" spans="2:22" hidden="1" x14ac:dyDescent="0.25">
      <c r="B113" s="130" t="s">
        <v>51</v>
      </c>
      <c r="C113" s="130" t="s">
        <v>51</v>
      </c>
      <c r="D113" s="130"/>
      <c r="E113">
        <v>0.1913</v>
      </c>
      <c r="F113" s="125">
        <v>0.84970000000000001</v>
      </c>
      <c r="G113" s="129"/>
      <c r="H113">
        <v>0.15390000000000001</v>
      </c>
      <c r="I113" s="125">
        <v>0.77300000000000002</v>
      </c>
      <c r="J113"/>
      <c r="K113" s="125"/>
      <c r="L113"/>
      <c r="M113"/>
      <c r="N113"/>
      <c r="O113"/>
      <c r="P113"/>
      <c r="Q113"/>
      <c r="R113"/>
      <c r="S113"/>
      <c r="T113"/>
      <c r="U113"/>
      <c r="V113"/>
    </row>
    <row r="114" spans="2:22" hidden="1" x14ac:dyDescent="0.25">
      <c r="B114" s="130" t="s">
        <v>51</v>
      </c>
      <c r="C114" s="130" t="s">
        <v>51</v>
      </c>
      <c r="D114" s="130"/>
      <c r="E114">
        <v>0.1769</v>
      </c>
      <c r="F114" s="125">
        <v>0.87019999999999997</v>
      </c>
      <c r="G114" s="129"/>
      <c r="H114">
        <v>0.14699999999999999</v>
      </c>
      <c r="I114" s="125">
        <v>0.79559999999999997</v>
      </c>
      <c r="J114"/>
      <c r="K114" s="125"/>
      <c r="L114"/>
      <c r="M114"/>
      <c r="N114"/>
      <c r="O114"/>
      <c r="P114"/>
      <c r="Q114"/>
      <c r="R114"/>
      <c r="S114"/>
      <c r="T114"/>
      <c r="U114"/>
      <c r="V114"/>
    </row>
    <row r="115" spans="2:22" hidden="1" x14ac:dyDescent="0.25">
      <c r="B115" s="131" t="s">
        <v>51</v>
      </c>
      <c r="C115" s="131" t="s">
        <v>51</v>
      </c>
      <c r="D115" s="131"/>
      <c r="E115">
        <v>0.1734</v>
      </c>
      <c r="F115" s="125">
        <v>0.89670000000000005</v>
      </c>
      <c r="G115" s="128"/>
      <c r="H115">
        <v>0.14399999999999999</v>
      </c>
      <c r="I115" s="125">
        <v>0.80059999999999998</v>
      </c>
      <c r="J115"/>
      <c r="K115" s="125"/>
      <c r="L115"/>
      <c r="M115"/>
      <c r="N115"/>
      <c r="O115"/>
      <c r="P115"/>
      <c r="Q115"/>
      <c r="R115"/>
      <c r="S115"/>
      <c r="T115"/>
      <c r="U115"/>
      <c r="V115"/>
    </row>
    <row r="116" spans="2:22" hidden="1" x14ac:dyDescent="0.25">
      <c r="B116" s="125"/>
      <c r="C116"/>
      <c r="D116"/>
      <c r="E116"/>
      <c r="F116"/>
      <c r="G116"/>
      <c r="H116"/>
      <c r="I116"/>
      <c r="J116"/>
      <c r="K116" s="125"/>
      <c r="L116"/>
      <c r="M116"/>
      <c r="N116"/>
      <c r="O116"/>
      <c r="P116"/>
      <c r="Q116"/>
      <c r="R116"/>
      <c r="S116"/>
      <c r="T116"/>
      <c r="U116"/>
      <c r="V116"/>
    </row>
    <row r="117" spans="2:22" hidden="1" x14ac:dyDescent="0.25">
      <c r="B117" s="125">
        <f>AVERAGE(B105:B115)</f>
        <v>0.45265999999999995</v>
      </c>
      <c r="C117" s="125">
        <f t="shared" ref="C117:I117" si="9">AVERAGE(C105:C115)</f>
        <v>0.94965999999999995</v>
      </c>
      <c r="D117" s="125"/>
      <c r="E117" s="125">
        <f t="shared" si="9"/>
        <v>0.28949999999999992</v>
      </c>
      <c r="F117" s="125">
        <f t="shared" si="9"/>
        <v>0.8522909090909091</v>
      </c>
      <c r="G117" s="125"/>
      <c r="H117" s="125">
        <f t="shared" si="9"/>
        <v>0.22457272727272726</v>
      </c>
      <c r="I117" s="125">
        <f t="shared" si="9"/>
        <v>0.80921818181818173</v>
      </c>
      <c r="J117"/>
      <c r="K117" s="125"/>
      <c r="L117"/>
      <c r="M117"/>
      <c r="N117"/>
      <c r="O117"/>
      <c r="P117"/>
      <c r="Q117"/>
      <c r="R117"/>
      <c r="S117"/>
      <c r="T117"/>
      <c r="U117"/>
      <c r="V117"/>
    </row>
    <row r="118" spans="2:22" hidden="1" x14ac:dyDescent="0.25">
      <c r="B118" s="125"/>
      <c r="C118"/>
      <c r="D118"/>
      <c r="E118"/>
      <c r="F118"/>
      <c r="G118"/>
      <c r="H118"/>
      <c r="I118"/>
      <c r="J118"/>
      <c r="K118" s="125"/>
      <c r="L118"/>
      <c r="M118"/>
      <c r="N118"/>
      <c r="O118"/>
      <c r="P118"/>
      <c r="Q118"/>
      <c r="R118"/>
      <c r="S118"/>
      <c r="T118"/>
      <c r="U118"/>
      <c r="V118"/>
    </row>
    <row r="119" spans="2:22" hidden="1" x14ac:dyDescent="0.25">
      <c r="B119" s="125"/>
      <c r="C119"/>
      <c r="D119"/>
      <c r="E119"/>
      <c r="F119"/>
      <c r="G119"/>
      <c r="H119"/>
      <c r="I119"/>
      <c r="J119"/>
      <c r="K119" s="125"/>
      <c r="L119"/>
      <c r="M119"/>
      <c r="N119"/>
      <c r="O119"/>
      <c r="P119"/>
      <c r="Q119"/>
      <c r="R119"/>
      <c r="S119"/>
      <c r="T119"/>
      <c r="U119"/>
      <c r="V119"/>
    </row>
    <row r="120" spans="2:22" hidden="1" x14ac:dyDescent="0.25">
      <c r="B120" s="125"/>
      <c r="C120"/>
      <c r="D120"/>
      <c r="E120">
        <f>AVERAGE(E113:E115)</f>
        <v>0.18053333333333332</v>
      </c>
      <c r="F120"/>
      <c r="G120"/>
      <c r="H120">
        <f>AVERAGE(H113:H115)</f>
        <v>0.14829999999999999</v>
      </c>
      <c r="I120"/>
      <c r="J120"/>
      <c r="K120" s="125"/>
      <c r="L120"/>
      <c r="M120"/>
      <c r="N120"/>
      <c r="O120"/>
      <c r="P120"/>
      <c r="Q120"/>
      <c r="R120"/>
      <c r="S120"/>
      <c r="T120"/>
      <c r="U120"/>
      <c r="V120"/>
    </row>
    <row r="121" spans="2:22" hidden="1" x14ac:dyDescent="0.25">
      <c r="B121"/>
      <c r="C121"/>
      <c r="D121"/>
      <c r="E121"/>
      <c r="F121"/>
      <c r="G121"/>
      <c r="H121"/>
      <c r="I121"/>
      <c r="J121"/>
      <c r="K121" s="125"/>
      <c r="L121"/>
      <c r="M121"/>
      <c r="N121"/>
      <c r="O121"/>
      <c r="P121"/>
      <c r="Q121"/>
      <c r="R121"/>
      <c r="S121"/>
      <c r="T121"/>
      <c r="U121"/>
      <c r="V121"/>
    </row>
    <row r="122" spans="2:22" hidden="1" x14ac:dyDescent="0.25">
      <c r="B122"/>
      <c r="C122"/>
      <c r="D122"/>
      <c r="E122"/>
      <c r="F122"/>
      <c r="G122"/>
      <c r="H122"/>
      <c r="I122"/>
      <c r="J122"/>
      <c r="K122" s="125"/>
      <c r="L122"/>
      <c r="M122"/>
      <c r="N122"/>
      <c r="O122"/>
      <c r="P122"/>
      <c r="Q122"/>
      <c r="R122"/>
      <c r="S122"/>
      <c r="T122"/>
      <c r="U122"/>
      <c r="V122"/>
    </row>
    <row r="123" spans="2:22" hidden="1" x14ac:dyDescent="0.25">
      <c r="B123"/>
      <c r="C123"/>
      <c r="D123"/>
      <c r="E123"/>
      <c r="F123"/>
      <c r="G123"/>
      <c r="H123"/>
      <c r="I123"/>
      <c r="J123"/>
      <c r="K123" s="125"/>
      <c r="L123"/>
      <c r="M123"/>
      <c r="N123"/>
      <c r="O123"/>
      <c r="P123"/>
      <c r="Q123"/>
      <c r="R123"/>
      <c r="S123"/>
      <c r="T123"/>
      <c r="U123"/>
      <c r="V123"/>
    </row>
    <row r="124" spans="2:22" hidden="1" x14ac:dyDescent="0.25">
      <c r="B124"/>
      <c r="C124"/>
      <c r="D124"/>
      <c r="E124"/>
      <c r="F124"/>
      <c r="G124"/>
      <c r="H124"/>
      <c r="I124"/>
      <c r="J124"/>
      <c r="K124" s="125"/>
      <c r="L124"/>
      <c r="M124"/>
      <c r="N124"/>
      <c r="O124"/>
      <c r="P124"/>
      <c r="Q124"/>
      <c r="R124"/>
      <c r="S124"/>
      <c r="T124"/>
      <c r="U124"/>
      <c r="V124"/>
    </row>
    <row r="125" spans="2:22" hidden="1" x14ac:dyDescent="0.25">
      <c r="B125"/>
      <c r="C125"/>
      <c r="D125"/>
      <c r="E125"/>
      <c r="F125"/>
      <c r="G125"/>
      <c r="H125"/>
      <c r="I125"/>
      <c r="J125"/>
      <c r="K125" s="125"/>
      <c r="L125"/>
      <c r="M125"/>
      <c r="N125"/>
      <c r="O125"/>
      <c r="P125"/>
      <c r="Q125"/>
      <c r="R125"/>
      <c r="S125"/>
      <c r="T125"/>
      <c r="U125"/>
      <c r="V125"/>
    </row>
    <row r="126" spans="2:22" hidden="1" x14ac:dyDescent="0.25">
      <c r="B126"/>
      <c r="C126"/>
      <c r="D126"/>
      <c r="E126"/>
      <c r="F126"/>
      <c r="G126"/>
      <c r="H126"/>
      <c r="I126"/>
      <c r="J126"/>
      <c r="K126" s="125"/>
      <c r="L126"/>
      <c r="M126"/>
      <c r="N126"/>
      <c r="O126"/>
      <c r="P126"/>
      <c r="Q126"/>
      <c r="R126"/>
      <c r="S126"/>
      <c r="T126"/>
      <c r="U126"/>
      <c r="V126"/>
    </row>
    <row r="127" spans="2:22" hidden="1" x14ac:dyDescent="0.25">
      <c r="J127"/>
      <c r="K127" s="125"/>
      <c r="L127"/>
      <c r="M127"/>
      <c r="N127"/>
      <c r="O127"/>
      <c r="P127"/>
      <c r="Q127"/>
      <c r="R127"/>
      <c r="S127"/>
      <c r="T127"/>
      <c r="U127"/>
      <c r="V127"/>
    </row>
    <row r="128" spans="2:22" hidden="1" x14ac:dyDescent="0.25">
      <c r="J128"/>
      <c r="K128" s="125"/>
      <c r="L128"/>
      <c r="M128"/>
      <c r="N128"/>
      <c r="O128"/>
      <c r="P128"/>
      <c r="Q128"/>
      <c r="R128"/>
      <c r="S128"/>
      <c r="T128"/>
      <c r="U128"/>
      <c r="V128"/>
    </row>
    <row r="129" spans="2:22" hidden="1" x14ac:dyDescent="0.25">
      <c r="J129"/>
      <c r="K129" s="125"/>
      <c r="L129"/>
      <c r="M129"/>
      <c r="N129"/>
      <c r="O129"/>
      <c r="P129"/>
      <c r="Q129"/>
      <c r="R129"/>
      <c r="S129"/>
      <c r="T129"/>
      <c r="U129"/>
      <c r="V129"/>
    </row>
    <row r="130" spans="2:22" hidden="1" x14ac:dyDescent="0.25"/>
    <row r="131" spans="2:22" hidden="1" x14ac:dyDescent="0.25">
      <c r="B131" s="112" t="s">
        <v>30</v>
      </c>
      <c r="C131" s="112">
        <f>IF(C5&lt;=20,C99,IF(AND(C5&gt;20,C5&lt;=45),E99,H99))</f>
        <v>0.24319999999999997</v>
      </c>
      <c r="E131" s="110" t="s">
        <v>32</v>
      </c>
      <c r="F131" s="111">
        <v>101.325</v>
      </c>
      <c r="G131" s="110" t="s">
        <v>33</v>
      </c>
      <c r="I131"/>
    </row>
    <row r="132" spans="2:22" hidden="1" x14ac:dyDescent="0.25">
      <c r="B132" s="106" t="s">
        <v>31</v>
      </c>
      <c r="C132" s="106">
        <f>IF(C5&lt;=20,C100,IF(AND(C5&gt;20,C5&lt;=45),E100,H100))</f>
        <v>0.81319999999999992</v>
      </c>
      <c r="F132" s="1">
        <v>2116.8000000000002</v>
      </c>
      <c r="G132" s="1" t="s">
        <v>57</v>
      </c>
    </row>
    <row r="133" spans="2:22" hidden="1" x14ac:dyDescent="0.25"/>
    <row r="134" spans="2:22" ht="18.75" hidden="1" x14ac:dyDescent="0.3">
      <c r="B134" s="183" t="s">
        <v>53</v>
      </c>
      <c r="C134" s="184"/>
      <c r="D134" s="184"/>
      <c r="E134" s="184"/>
      <c r="F134" s="184"/>
      <c r="G134" s="184"/>
      <c r="H134" s="184"/>
      <c r="I134" s="185"/>
    </row>
    <row r="135" spans="2:22" hidden="1" x14ac:dyDescent="0.25">
      <c r="B135" s="105" t="s">
        <v>34</v>
      </c>
      <c r="C135" s="109" t="s">
        <v>35</v>
      </c>
      <c r="D135" s="105" t="s">
        <v>58</v>
      </c>
      <c r="E135" s="109" t="s">
        <v>59</v>
      </c>
    </row>
    <row r="136" spans="2:22" hidden="1" x14ac:dyDescent="0.25">
      <c r="B136" s="107">
        <v>0</v>
      </c>
      <c r="C136" s="108">
        <f>$C$131*$F$131*(B136/$F$78)^$C$132</f>
        <v>0</v>
      </c>
      <c r="D136" s="1">
        <f>B136*20.885434273</f>
        <v>0</v>
      </c>
      <c r="E136" s="1">
        <f>C136*20.885434273</f>
        <v>0</v>
      </c>
    </row>
    <row r="137" spans="2:22" hidden="1" x14ac:dyDescent="0.25">
      <c r="B137" s="107">
        <v>15</v>
      </c>
      <c r="C137" s="108">
        <f t="shared" ref="C137:C143" si="10">$C$131*$F$131*(B137/$F$78)^$C$132</f>
        <v>5.2122932979645125</v>
      </c>
      <c r="D137" s="1">
        <f t="shared" ref="D137:D143" si="11">B137*20.885434273</f>
        <v>313.28151409500003</v>
      </c>
      <c r="E137" s="1">
        <f t="shared" ref="E137:E143" si="12">C137*20.885434273</f>
        <v>108.86100908623624</v>
      </c>
    </row>
    <row r="138" spans="2:22" hidden="1" x14ac:dyDescent="0.25">
      <c r="B138" s="107">
        <v>25</v>
      </c>
      <c r="C138" s="108">
        <f t="shared" si="10"/>
        <v>7.8965292580902613</v>
      </c>
      <c r="D138" s="1">
        <f t="shared" si="11"/>
        <v>522.13585682500002</v>
      </c>
      <c r="E138" s="1">
        <f t="shared" si="12"/>
        <v>164.92244280466562</v>
      </c>
    </row>
    <row r="139" spans="2:22" hidden="1" x14ac:dyDescent="0.25">
      <c r="B139" s="107">
        <v>75</v>
      </c>
      <c r="C139" s="108">
        <f t="shared" si="10"/>
        <v>19.29439890593223</v>
      </c>
      <c r="D139" s="1">
        <f t="shared" si="11"/>
        <v>1566.4075704750001</v>
      </c>
      <c r="E139" s="1">
        <f t="shared" si="12"/>
        <v>402.97190018689071</v>
      </c>
    </row>
    <row r="140" spans="2:22" hidden="1" x14ac:dyDescent="0.25">
      <c r="B140" s="107">
        <v>150</v>
      </c>
      <c r="C140" s="108">
        <f t="shared" si="10"/>
        <v>33.902275258179564</v>
      </c>
      <c r="D140" s="1">
        <f t="shared" si="11"/>
        <v>3132.8151409500001</v>
      </c>
      <c r="E140" s="1">
        <f t="shared" si="12"/>
        <v>708.06374160986343</v>
      </c>
    </row>
    <row r="141" spans="2:22" hidden="1" x14ac:dyDescent="0.25">
      <c r="B141" s="107">
        <v>200</v>
      </c>
      <c r="C141" s="108">
        <f t="shared" si="10"/>
        <v>42.837984195499935</v>
      </c>
      <c r="D141" s="1">
        <f t="shared" si="11"/>
        <v>4177.0868546000002</v>
      </c>
      <c r="E141" s="1">
        <f t="shared" si="12"/>
        <v>894.68990330292672</v>
      </c>
    </row>
    <row r="142" spans="2:22" hidden="1" x14ac:dyDescent="0.25">
      <c r="B142" s="107">
        <v>300</v>
      </c>
      <c r="C142" s="108">
        <f t="shared" si="10"/>
        <v>59.569840619807657</v>
      </c>
      <c r="D142" s="1">
        <f t="shared" si="11"/>
        <v>6265.6302819000002</v>
      </c>
      <c r="E142" s="1">
        <f t="shared" si="12"/>
        <v>1244.1419909180786</v>
      </c>
    </row>
    <row r="143" spans="2:22" hidden="1" x14ac:dyDescent="0.25">
      <c r="B143" s="107">
        <v>400</v>
      </c>
      <c r="C143" s="108">
        <f t="shared" si="10"/>
        <v>75.270815057879901</v>
      </c>
      <c r="D143" s="1">
        <f t="shared" si="11"/>
        <v>8354.1737092000003</v>
      </c>
      <c r="E143" s="1">
        <f t="shared" si="12"/>
        <v>1572.0636605664895</v>
      </c>
    </row>
    <row r="144" spans="2:22" hidden="1" x14ac:dyDescent="0.25">
      <c r="B144" s="107">
        <v>500</v>
      </c>
      <c r="C144" s="108">
        <f>$C$131*$F$131*(B144/$F$78)^$C$132</f>
        <v>90.247221801156499</v>
      </c>
      <c r="D144" s="1">
        <f t="shared" ref="D144:E146" si="13">B144*20.885434273</f>
        <v>10442.717136500001</v>
      </c>
      <c r="E144" s="1">
        <f t="shared" si="13"/>
        <v>1884.8524192489069</v>
      </c>
    </row>
    <row r="145" spans="2:5" hidden="1" x14ac:dyDescent="0.25">
      <c r="B145" s="107">
        <v>600</v>
      </c>
      <c r="C145" s="108">
        <f>$C$131*$F$131*(B145/$F$78)^$C$132</f>
        <v>104.67043537478</v>
      </c>
      <c r="D145" s="1">
        <f t="shared" si="13"/>
        <v>12531.2605638</v>
      </c>
      <c r="E145" s="1">
        <f t="shared" si="13"/>
        <v>2186.0874983462618</v>
      </c>
    </row>
    <row r="146" spans="2:5" hidden="1" x14ac:dyDescent="0.25">
      <c r="B146" s="107">
        <v>700</v>
      </c>
      <c r="C146" s="108">
        <f>$C$131*$F$131*(B146/$F$131)^$C$132</f>
        <v>118.64929442745797</v>
      </c>
      <c r="D146" s="1">
        <f t="shared" si="13"/>
        <v>14619.803991100001</v>
      </c>
      <c r="E146" s="1">
        <f t="shared" si="13"/>
        <v>2478.0420403024987</v>
      </c>
    </row>
    <row r="147" spans="2:5" hidden="1" x14ac:dyDescent="0.25"/>
  </sheetData>
  <sheetProtection algorithmName="SHA-512" hashValue="r7IWJDPSHwDKUoYqJPn/EoVwahhjIBD774MIWFeKJGuQ3e5iizhJm7o/z91p52qmcyHOGPmRNm9ZzQfOvzexMQ==" saltValue="uD+6nZjaNpRruE4GQiTGng==" spinCount="100000" sheet="1" selectLockedCells="1"/>
  <mergeCells count="30">
    <mergeCell ref="E58:F58"/>
    <mergeCell ref="E55:F55"/>
    <mergeCell ref="G54:H54"/>
    <mergeCell ref="B103:C103"/>
    <mergeCell ref="E103:F103"/>
    <mergeCell ref="H103:I103"/>
    <mergeCell ref="E56:F56"/>
    <mergeCell ref="E57:F57"/>
    <mergeCell ref="B134:I134"/>
    <mergeCell ref="B98:I98"/>
    <mergeCell ref="R8:U8"/>
    <mergeCell ref="B9:B10"/>
    <mergeCell ref="B11:B12"/>
    <mergeCell ref="B60:I60"/>
    <mergeCell ref="B81:I81"/>
    <mergeCell ref="L36:Q36"/>
    <mergeCell ref="M58:O58"/>
    <mergeCell ref="B17:I17"/>
    <mergeCell ref="B18:B19"/>
    <mergeCell ref="B20:B21"/>
    <mergeCell ref="B22:B23"/>
    <mergeCell ref="B13:B15"/>
    <mergeCell ref="B8:I8"/>
    <mergeCell ref="L8:P8"/>
    <mergeCell ref="B1:P1"/>
    <mergeCell ref="B2:P2"/>
    <mergeCell ref="B3:C3"/>
    <mergeCell ref="D3:D6"/>
    <mergeCell ref="F3:J3"/>
    <mergeCell ref="K3:P3"/>
  </mergeCells>
  <hyperlinks>
    <hyperlink ref="M58" r:id="rId1"/>
  </hyperlinks>
  <pageMargins left="0.7" right="0.7" top="0.75" bottom="0.75" header="0.3" footer="0.3"/>
  <pageSetup orientation="portrait" verticalDpi="52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Input-Output Metric</vt:lpstr>
      <vt:lpstr>Input-Output English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manzoor</dc:creator>
  <cp:lastModifiedBy>T.D. Stark</cp:lastModifiedBy>
  <dcterms:created xsi:type="dcterms:W3CDTF">2010-01-15T04:48:35Z</dcterms:created>
  <dcterms:modified xsi:type="dcterms:W3CDTF">2017-09-16T19:05:40Z</dcterms:modified>
</cp:coreProperties>
</file>